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filterPrivacy="1" defaultThemeVersion="124226"/>
  <xr:revisionPtr revIDLastSave="0" documentId="13_ncr:1_{1C8068DC-2B8B-46A6-A591-041F6F8D23E1}" xr6:coauthVersionLast="47" xr6:coauthVersionMax="47" xr10:uidLastSave="{00000000-0000-0000-0000-000000000000}"/>
  <bookViews>
    <workbookView xWindow="30" yWindow="15" windowWidth="28725" windowHeight="15600" tabRatio="806" activeTab="3" xr2:uid="{00000000-000D-0000-FFFF-FFFF00000000}"/>
  </bookViews>
  <sheets>
    <sheet name="ENC. SOCIAIS" sheetId="26" r:id="rId1"/>
    <sheet name="CRONOGRAMA" sheetId="6" r:id="rId2"/>
    <sheet name="BDI" sheetId="8" r:id="rId3"/>
    <sheet name="ORÇAMENTO" sheetId="1" r:id="rId4"/>
    <sheet name="COMPOSIÇÕES" sheetId="12" r:id="rId5"/>
    <sheet name="ADM. OBRA. 1" sheetId="13" r:id="rId6"/>
    <sheet name="SERV. PREL.2" sheetId="36" r:id="rId7"/>
    <sheet name="DEMOL. RET.3" sheetId="37" r:id="rId8"/>
    <sheet name="PAV.4" sheetId="15" r:id="rId9"/>
    <sheet name="URB.5" sheetId="16" r:id="rId10"/>
    <sheet name="PLAY.6" sheetId="35" r:id="rId11"/>
    <sheet name="FONTE.7" sheetId="34" r:id="rId12"/>
    <sheet name="ELÉTRICO.8" sheetId="28" r:id="rId13"/>
    <sheet name="PORT.9" sheetId="33" r:id="rId14"/>
    <sheet name="SERVIÇO FINAL.10" sheetId="29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\s" localSheetId="7">#REF!</definedName>
    <definedName name="\s" localSheetId="10">#REF!</definedName>
    <definedName name="\s" localSheetId="6">#REF!</definedName>
    <definedName name="\s">#REF!</definedName>
    <definedName name="__wal1" localSheetId="7">#REF!</definedName>
    <definedName name="__wal1" localSheetId="10">#REF!</definedName>
    <definedName name="__wal1" localSheetId="6">#REF!</definedName>
    <definedName name="__wal1">#REF!</definedName>
    <definedName name="__wal10" localSheetId="7">#REF!</definedName>
    <definedName name="__wal10" localSheetId="10">#REF!</definedName>
    <definedName name="__wal10" localSheetId="6">#REF!</definedName>
    <definedName name="__wal10">#REF!</definedName>
    <definedName name="__wal11" localSheetId="7">#REF!</definedName>
    <definedName name="__wal11" localSheetId="10">#REF!</definedName>
    <definedName name="__wal11" localSheetId="6">#REF!</definedName>
    <definedName name="__wal11">#REF!</definedName>
    <definedName name="__wal12" localSheetId="7">#REF!</definedName>
    <definedName name="__wal12" localSheetId="10">#REF!</definedName>
    <definedName name="__wal12" localSheetId="6">#REF!</definedName>
    <definedName name="__wal12">#REF!</definedName>
    <definedName name="__wal13" localSheetId="7">#REF!</definedName>
    <definedName name="__wal13" localSheetId="10">#REF!</definedName>
    <definedName name="__wal13" localSheetId="6">#REF!</definedName>
    <definedName name="__wal13">#REF!</definedName>
    <definedName name="__wal14" localSheetId="7">#REF!</definedName>
    <definedName name="__wal14" localSheetId="10">#REF!</definedName>
    <definedName name="__wal14" localSheetId="6">#REF!</definedName>
    <definedName name="__wal14">#REF!</definedName>
    <definedName name="__wal15" localSheetId="7">#REF!</definedName>
    <definedName name="__wal15" localSheetId="10">#REF!</definedName>
    <definedName name="__wal15" localSheetId="6">#REF!</definedName>
    <definedName name="__wal15">#REF!</definedName>
    <definedName name="__wal16" localSheetId="7">#REF!</definedName>
    <definedName name="__wal16" localSheetId="10">#REF!</definedName>
    <definedName name="__wal16" localSheetId="6">#REF!</definedName>
    <definedName name="__wal16">#REF!</definedName>
    <definedName name="__wal2" localSheetId="7">#REF!</definedName>
    <definedName name="__wal2" localSheetId="10">#REF!</definedName>
    <definedName name="__wal2" localSheetId="6">#REF!</definedName>
    <definedName name="__wal2">#REF!</definedName>
    <definedName name="__wal3" localSheetId="7">#REF!</definedName>
    <definedName name="__wal3" localSheetId="10">#REF!</definedName>
    <definedName name="__wal3" localSheetId="6">#REF!</definedName>
    <definedName name="__wal3">#REF!</definedName>
    <definedName name="__wal5" localSheetId="7">#REF!</definedName>
    <definedName name="__wal5" localSheetId="10">#REF!</definedName>
    <definedName name="__wal5" localSheetId="6">#REF!</definedName>
    <definedName name="__wal5">#REF!</definedName>
    <definedName name="__wal6" localSheetId="7">#REF!</definedName>
    <definedName name="__wal6" localSheetId="10">#REF!</definedName>
    <definedName name="__wal6" localSheetId="6">#REF!</definedName>
    <definedName name="__wal6">#REF!</definedName>
    <definedName name="__wal7" localSheetId="7">#REF!</definedName>
    <definedName name="__wal7" localSheetId="10">#REF!</definedName>
    <definedName name="__wal7" localSheetId="6">#REF!</definedName>
    <definedName name="__wal7">#REF!</definedName>
    <definedName name="__wal9" localSheetId="7">#REF!</definedName>
    <definedName name="__wal9" localSheetId="10">#REF!</definedName>
    <definedName name="__wal9" localSheetId="6">#REF!</definedName>
    <definedName name="__wal9">#REF!</definedName>
    <definedName name="_BD2" localSheetId="7">#REF!</definedName>
    <definedName name="_BD2" localSheetId="10">#REF!</definedName>
    <definedName name="_BD2" localSheetId="6">#REF!</definedName>
    <definedName name="_BD2">#REF!</definedName>
    <definedName name="_Fill" localSheetId="7" hidden="1">#REF!</definedName>
    <definedName name="_Fill" localSheetId="10" hidden="1">#REF!</definedName>
    <definedName name="_Fill" localSheetId="6" hidden="1">#REF!</definedName>
    <definedName name="_Fill" hidden="1">#REF!</definedName>
    <definedName name="_xlnm._FilterDatabase" localSheetId="11" hidden="1">FONTE.7!#REF!</definedName>
    <definedName name="_Key1" localSheetId="7" hidden="1">#REF!</definedName>
    <definedName name="_Key1" localSheetId="10" hidden="1">#REF!</definedName>
    <definedName name="_Key1" localSheetId="6" hidden="1">#REF!</definedName>
    <definedName name="_Key1" hidden="1">#REF!</definedName>
    <definedName name="_Order1" hidden="1">255</definedName>
    <definedName name="_Sort" localSheetId="7" hidden="1">#REF!</definedName>
    <definedName name="_Sort" localSheetId="11" hidden="1">#REF!</definedName>
    <definedName name="_Sort" localSheetId="10" hidden="1">#REF!</definedName>
    <definedName name="_Sort" localSheetId="6" hidden="1">#REF!</definedName>
    <definedName name="_Sort" hidden="1">#REF!</definedName>
    <definedName name="_wal1" localSheetId="7">#REF!</definedName>
    <definedName name="_wal1" localSheetId="11">#REF!</definedName>
    <definedName name="_wal1" localSheetId="10">#REF!</definedName>
    <definedName name="_wal1" localSheetId="6">#REF!</definedName>
    <definedName name="_wal1">#REF!</definedName>
    <definedName name="_wal10" localSheetId="7">#REF!</definedName>
    <definedName name="_wal10" localSheetId="11">#REF!</definedName>
    <definedName name="_wal10" localSheetId="10">#REF!</definedName>
    <definedName name="_wal10" localSheetId="6">#REF!</definedName>
    <definedName name="_wal10">#REF!</definedName>
    <definedName name="_wal11" localSheetId="7">#REF!</definedName>
    <definedName name="_wal11" localSheetId="10">#REF!</definedName>
    <definedName name="_wal11" localSheetId="6">#REF!</definedName>
    <definedName name="_wal11">#REF!</definedName>
    <definedName name="_wal12" localSheetId="7">#REF!</definedName>
    <definedName name="_wal12" localSheetId="10">#REF!</definedName>
    <definedName name="_wal12" localSheetId="6">#REF!</definedName>
    <definedName name="_wal12">#REF!</definedName>
    <definedName name="_wal13" localSheetId="7">#REF!</definedName>
    <definedName name="_wal13" localSheetId="10">#REF!</definedName>
    <definedName name="_wal13" localSheetId="6">#REF!</definedName>
    <definedName name="_wal13">#REF!</definedName>
    <definedName name="_wal14" localSheetId="7">#REF!</definedName>
    <definedName name="_wal14" localSheetId="10">#REF!</definedName>
    <definedName name="_wal14" localSheetId="6">#REF!</definedName>
    <definedName name="_wal14">#REF!</definedName>
    <definedName name="_wal15" localSheetId="7">#REF!</definedName>
    <definedName name="_wal15" localSheetId="10">#REF!</definedName>
    <definedName name="_wal15" localSheetId="6">#REF!</definedName>
    <definedName name="_wal15">#REF!</definedName>
    <definedName name="_wal16" localSheetId="7">#REF!</definedName>
    <definedName name="_wal16" localSheetId="10">#REF!</definedName>
    <definedName name="_wal16" localSheetId="6">#REF!</definedName>
    <definedName name="_wal16">#REF!</definedName>
    <definedName name="_wal2" localSheetId="7">#REF!</definedName>
    <definedName name="_wal2" localSheetId="10">#REF!</definedName>
    <definedName name="_wal2" localSheetId="6">#REF!</definedName>
    <definedName name="_wal2">#REF!</definedName>
    <definedName name="_wal3" localSheetId="7">#REF!</definedName>
    <definedName name="_wal3" localSheetId="10">#REF!</definedName>
    <definedName name="_wal3" localSheetId="6">#REF!</definedName>
    <definedName name="_wal3">#REF!</definedName>
    <definedName name="_wal5" localSheetId="7">#REF!</definedName>
    <definedName name="_wal5" localSheetId="10">#REF!</definedName>
    <definedName name="_wal5" localSheetId="6">#REF!</definedName>
    <definedName name="_wal5">#REF!</definedName>
    <definedName name="_wal6" localSheetId="7">#REF!</definedName>
    <definedName name="_wal6" localSheetId="10">#REF!</definedName>
    <definedName name="_wal6" localSheetId="6">#REF!</definedName>
    <definedName name="_wal6">#REF!</definedName>
    <definedName name="_wal7" localSheetId="7">#REF!</definedName>
    <definedName name="_wal7" localSheetId="10">#REF!</definedName>
    <definedName name="_wal7" localSheetId="6">#REF!</definedName>
    <definedName name="_wal7">#REF!</definedName>
    <definedName name="_wal8" localSheetId="7">#REF!</definedName>
    <definedName name="_wal8" localSheetId="10">#REF!</definedName>
    <definedName name="_wal8" localSheetId="6">#REF!</definedName>
    <definedName name="_wal8">#REF!</definedName>
    <definedName name="_wal9" localSheetId="7">#REF!</definedName>
    <definedName name="_wal9" localSheetId="10">#REF!</definedName>
    <definedName name="_wal9" localSheetId="6">#REF!</definedName>
    <definedName name="_wal9">#REF!</definedName>
    <definedName name="abc" localSheetId="7">#REF!</definedName>
    <definedName name="abc" localSheetId="10">#REF!</definedName>
    <definedName name="abc" localSheetId="6">#REF!</definedName>
    <definedName name="abc">#REF!</definedName>
    <definedName name="Acomp" localSheetId="7">#REF!</definedName>
    <definedName name="Acomp" localSheetId="10">#REF!</definedName>
    <definedName name="Acomp" localSheetId="6">#REF!</definedName>
    <definedName name="Acomp">#REF!</definedName>
    <definedName name="agua" localSheetId="7">#REF!</definedName>
    <definedName name="agua" localSheetId="10">#REF!</definedName>
    <definedName name="agua" localSheetId="6">#REF!</definedName>
    <definedName name="agua">#REF!</definedName>
    <definedName name="_xlnm.Print_Area" localSheetId="5">'ADM. OBRA. 1'!$A$1:$M$27</definedName>
    <definedName name="_xlnm.Print_Area" localSheetId="2">BDI!$B$1:$J$95</definedName>
    <definedName name="_xlnm.Print_Area" localSheetId="4">COMPOSIÇÕES!$A$1:$H$361</definedName>
    <definedName name="_xlnm.Print_Area" localSheetId="1">CRONOGRAMA!$A$1:$J$47</definedName>
    <definedName name="_xlnm.Print_Area" localSheetId="7">'DEMOL. RET.3'!$A$1:$M$75</definedName>
    <definedName name="_xlnm.Print_Area" localSheetId="12">ELÉTRICO.8!$A$1:$K$118</definedName>
    <definedName name="_xlnm.Print_Area" localSheetId="0">'ENC. SOCIAIS'!$A$1:$F$48</definedName>
    <definedName name="_xlnm.Print_Area" localSheetId="11">FONTE.7!$A$1:$L$328</definedName>
    <definedName name="_xlnm.Print_Area" localSheetId="3">ORÇAMENTO!$A$1:$K$190</definedName>
    <definedName name="_xlnm.Print_Area" localSheetId="8">PAV.4!$A$1:$K$181</definedName>
    <definedName name="_xlnm.Print_Area" localSheetId="10">PLAY.6!$A$1:$N$277</definedName>
    <definedName name="_xlnm.Print_Area" localSheetId="13">PORT.9!$A$1:$N$433</definedName>
    <definedName name="_xlnm.Print_Area" localSheetId="6">'SERV. PREL.2'!$A$1:$M$37</definedName>
    <definedName name="_xlnm.Print_Area" localSheetId="14">'SERVIÇO FINAL.10'!$A$1:$K$31</definedName>
    <definedName name="_xlnm.Print_Area" localSheetId="9">URB.5!$A$1:$P$92</definedName>
    <definedName name="_xlnm.Print_Area">#REF!</definedName>
    <definedName name="ASDD">#REF!</definedName>
    <definedName name="ASFDADF">#REF!</definedName>
    <definedName name="B" localSheetId="7">#REF!</definedName>
    <definedName name="B" localSheetId="11">#REF!</definedName>
    <definedName name="B" localSheetId="10">#REF!</definedName>
    <definedName name="B" localSheetId="6">#REF!</definedName>
    <definedName name="B">#REF!</definedName>
    <definedName name="Banco_dados_IM" localSheetId="7">#REF!</definedName>
    <definedName name="Banco_dados_IM" localSheetId="11">#REF!</definedName>
    <definedName name="Banco_dados_IM" localSheetId="10">#REF!</definedName>
    <definedName name="Banco_dados_IM" localSheetId="6">#REF!</definedName>
    <definedName name="Banco_dados_IM">#REF!</definedName>
    <definedName name="_xlnm.Database" localSheetId="7">#REF!</definedName>
    <definedName name="_xlnm.Database" localSheetId="10">#REF!</definedName>
    <definedName name="_xlnm.Database" localSheetId="6">#REF!</definedName>
    <definedName name="_xlnm.Database">#REF!</definedName>
    <definedName name="bbcla" localSheetId="7">#REF!</definedName>
    <definedName name="bbcla" localSheetId="10">#REF!</definedName>
    <definedName name="bbcla" localSheetId="6">#REF!</definedName>
    <definedName name="bbcla">#REF!</definedName>
    <definedName name="Bloco1" localSheetId="7">#REF!</definedName>
    <definedName name="Bloco1" localSheetId="10">#REF!</definedName>
    <definedName name="Bloco1" localSheetId="6">#REF!</definedName>
    <definedName name="Bloco1">#REF!</definedName>
    <definedName name="Bloco1.2" localSheetId="7">#REF!</definedName>
    <definedName name="Bloco1.2" localSheetId="10">#REF!</definedName>
    <definedName name="Bloco1.2" localSheetId="6">#REF!</definedName>
    <definedName name="Bloco1.2">#REF!</definedName>
    <definedName name="Bloco1.3" localSheetId="7">#REF!</definedName>
    <definedName name="Bloco1.3" localSheetId="10">#REF!</definedName>
    <definedName name="Bloco1.3" localSheetId="6">#REF!</definedName>
    <definedName name="Bloco1.3">#REF!</definedName>
    <definedName name="Bloco10" localSheetId="7">#REF!</definedName>
    <definedName name="Bloco10" localSheetId="10">#REF!</definedName>
    <definedName name="Bloco10" localSheetId="6">#REF!</definedName>
    <definedName name="Bloco10">#REF!</definedName>
    <definedName name="Bloco11" localSheetId="7">#REF!</definedName>
    <definedName name="Bloco11" localSheetId="10">#REF!</definedName>
    <definedName name="Bloco11" localSheetId="6">#REF!</definedName>
    <definedName name="Bloco11">#REF!</definedName>
    <definedName name="Bloco12" localSheetId="7">#REF!</definedName>
    <definedName name="Bloco12" localSheetId="10">#REF!</definedName>
    <definedName name="Bloco12" localSheetId="6">#REF!</definedName>
    <definedName name="Bloco12">#REF!</definedName>
    <definedName name="Bloco13" localSheetId="7">#REF!</definedName>
    <definedName name="Bloco13" localSheetId="10">#REF!</definedName>
    <definedName name="Bloco13" localSheetId="6">#REF!</definedName>
    <definedName name="Bloco13">#REF!</definedName>
    <definedName name="Bloco14" localSheetId="7">#REF!</definedName>
    <definedName name="Bloco14" localSheetId="10">#REF!</definedName>
    <definedName name="Bloco14" localSheetId="6">#REF!</definedName>
    <definedName name="Bloco14">#REF!</definedName>
    <definedName name="Bloco15" localSheetId="7">#REF!</definedName>
    <definedName name="Bloco15" localSheetId="10">#REF!</definedName>
    <definedName name="Bloco15" localSheetId="6">#REF!</definedName>
    <definedName name="Bloco15">#REF!</definedName>
    <definedName name="Bloco16" localSheetId="7">#REF!</definedName>
    <definedName name="Bloco16" localSheetId="10">#REF!</definedName>
    <definedName name="Bloco16" localSheetId="6">#REF!</definedName>
    <definedName name="Bloco16">#REF!</definedName>
    <definedName name="Bloco17" localSheetId="7">#REF!</definedName>
    <definedName name="Bloco17" localSheetId="10">#REF!</definedName>
    <definedName name="Bloco17" localSheetId="6">#REF!</definedName>
    <definedName name="Bloco17">#REF!</definedName>
    <definedName name="Bloco18" localSheetId="7">#REF!</definedName>
    <definedName name="Bloco18" localSheetId="10">#REF!</definedName>
    <definedName name="Bloco18" localSheetId="6">#REF!</definedName>
    <definedName name="Bloco18">#REF!</definedName>
    <definedName name="Bloco19" localSheetId="7">#REF!</definedName>
    <definedName name="Bloco19" localSheetId="10">#REF!</definedName>
    <definedName name="Bloco19" localSheetId="6">#REF!</definedName>
    <definedName name="Bloco19">#REF!</definedName>
    <definedName name="Bloco2" localSheetId="7">#REF!</definedName>
    <definedName name="Bloco2" localSheetId="10">#REF!</definedName>
    <definedName name="Bloco2" localSheetId="6">#REF!</definedName>
    <definedName name="Bloco2">#REF!</definedName>
    <definedName name="Bloco20" localSheetId="7">#REF!</definedName>
    <definedName name="Bloco20" localSheetId="10">#REF!</definedName>
    <definedName name="Bloco20" localSheetId="6">#REF!</definedName>
    <definedName name="Bloco20">#REF!</definedName>
    <definedName name="Bloco203" localSheetId="7">#REF!</definedName>
    <definedName name="Bloco203" localSheetId="10">#REF!</definedName>
    <definedName name="Bloco203" localSheetId="6">#REF!</definedName>
    <definedName name="Bloco203">#REF!</definedName>
    <definedName name="Bloco21" localSheetId="7">#REF!</definedName>
    <definedName name="Bloco21" localSheetId="10">#REF!</definedName>
    <definedName name="Bloco21" localSheetId="6">#REF!</definedName>
    <definedName name="Bloco21">#REF!</definedName>
    <definedName name="Bloco22" localSheetId="7">#REF!</definedName>
    <definedName name="Bloco22" localSheetId="10">#REF!</definedName>
    <definedName name="Bloco22" localSheetId="6">#REF!</definedName>
    <definedName name="Bloco22">#REF!</definedName>
    <definedName name="Bloco23" localSheetId="7">#REF!</definedName>
    <definedName name="Bloco23" localSheetId="10">#REF!</definedName>
    <definedName name="Bloco23" localSheetId="6">#REF!</definedName>
    <definedName name="Bloco23">#REF!</definedName>
    <definedName name="Bloco24" localSheetId="7">#REF!</definedName>
    <definedName name="Bloco24" localSheetId="10">#REF!</definedName>
    <definedName name="Bloco24" localSheetId="6">#REF!</definedName>
    <definedName name="Bloco24">#REF!</definedName>
    <definedName name="Bloco25" localSheetId="7">#REF!</definedName>
    <definedName name="Bloco25" localSheetId="10">#REF!</definedName>
    <definedName name="Bloco25" localSheetId="6">#REF!</definedName>
    <definedName name="Bloco25">#REF!</definedName>
    <definedName name="Bloco3" localSheetId="7">#REF!</definedName>
    <definedName name="Bloco3" localSheetId="10">#REF!</definedName>
    <definedName name="Bloco3" localSheetId="6">#REF!</definedName>
    <definedName name="Bloco3">#REF!</definedName>
    <definedName name="Bloco4" localSheetId="7">#REF!</definedName>
    <definedName name="Bloco4" localSheetId="10">#REF!</definedName>
    <definedName name="Bloco4" localSheetId="6">#REF!</definedName>
    <definedName name="Bloco4">#REF!</definedName>
    <definedName name="Bloco5" localSheetId="7">#REF!</definedName>
    <definedName name="Bloco5" localSheetId="10">#REF!</definedName>
    <definedName name="Bloco5" localSheetId="6">#REF!</definedName>
    <definedName name="Bloco5">#REF!</definedName>
    <definedName name="Bloco6" localSheetId="7">#REF!</definedName>
    <definedName name="Bloco6" localSheetId="10">#REF!</definedName>
    <definedName name="Bloco6" localSheetId="6">#REF!</definedName>
    <definedName name="Bloco6">#REF!</definedName>
    <definedName name="Bloco7" localSheetId="7">#REF!</definedName>
    <definedName name="Bloco7" localSheetId="10">#REF!</definedName>
    <definedName name="Bloco7" localSheetId="6">#REF!</definedName>
    <definedName name="Bloco7">#REF!</definedName>
    <definedName name="Bloco8" localSheetId="7">#REF!</definedName>
    <definedName name="Bloco8" localSheetId="10">#REF!</definedName>
    <definedName name="Bloco8" localSheetId="6">#REF!</definedName>
    <definedName name="Bloco8">#REF!</definedName>
    <definedName name="Bloco9" localSheetId="7">#REF!</definedName>
    <definedName name="Bloco9" localSheetId="10">#REF!</definedName>
    <definedName name="Bloco9" localSheetId="6">#REF!</definedName>
    <definedName name="Bloco9">#REF!</definedName>
    <definedName name="Cat" localSheetId="7">#REF!</definedName>
    <definedName name="Cat" localSheetId="10">#REF!</definedName>
    <definedName name="Cat" localSheetId="6">#REF!</definedName>
    <definedName name="Cat">#REF!</definedName>
    <definedName name="COD_ATRIUM" localSheetId="7">#REF!</definedName>
    <definedName name="COD_ATRIUM" localSheetId="10">#REF!</definedName>
    <definedName name="COD_ATRIUM" localSheetId="6">#REF!</definedName>
    <definedName name="COD_ATRIUM">#REF!</definedName>
    <definedName name="COD_SINAPI" localSheetId="7">#REF!</definedName>
    <definedName name="COD_SINAPI" localSheetId="10">#REF!</definedName>
    <definedName name="COD_SINAPI" localSheetId="6">#REF!</definedName>
    <definedName name="COD_SINAPI">#REF!</definedName>
    <definedName name="COMPOSIÇÃO" localSheetId="7">#REF!</definedName>
    <definedName name="COMPOSIÇÃO" localSheetId="10">#REF!</definedName>
    <definedName name="COMPOSIÇÃO" localSheetId="6">#REF!</definedName>
    <definedName name="COMPOSIÇÃO">#REF!</definedName>
    <definedName name="CONSTRUÇÕES_E_COMÉRCIO" localSheetId="7">#REF!</definedName>
    <definedName name="CONSTRUÇÕES_E_COMÉRCIO" localSheetId="10">#REF!</definedName>
    <definedName name="CONSTRUÇÕES_E_COMÉRCIO" localSheetId="6">#REF!</definedName>
    <definedName name="CONSTRUÇÕES_E_COMÉRCIO">#REF!</definedName>
    <definedName name="CONTRATO">[1]contrato!$C$4:$H$411</definedName>
    <definedName name="dados" localSheetId="7">#REF!</definedName>
    <definedName name="dados" localSheetId="11">#REF!</definedName>
    <definedName name="dados" localSheetId="10">#REF!</definedName>
    <definedName name="dados" localSheetId="6">#REF!</definedName>
    <definedName name="dados">#REF!</definedName>
    <definedName name="dados10" localSheetId="7">#REF!</definedName>
    <definedName name="dados10" localSheetId="11">#REF!</definedName>
    <definedName name="dados10" localSheetId="10">#REF!</definedName>
    <definedName name="dados10" localSheetId="6">#REF!</definedName>
    <definedName name="dados10">#REF!</definedName>
    <definedName name="dados2" localSheetId="7">#REF!</definedName>
    <definedName name="dados2" localSheetId="11">#REF!</definedName>
    <definedName name="dados2" localSheetId="10">#REF!</definedName>
    <definedName name="dados2" localSheetId="6">#REF!</definedName>
    <definedName name="dados2">#REF!</definedName>
    <definedName name="dados3" localSheetId="7">#REF!</definedName>
    <definedName name="dados3" localSheetId="10">#REF!</definedName>
    <definedName name="dados3" localSheetId="6">#REF!</definedName>
    <definedName name="dados3">#REF!</definedName>
    <definedName name="dados5" localSheetId="7">#REF!</definedName>
    <definedName name="dados5" localSheetId="10">#REF!</definedName>
    <definedName name="dados5" localSheetId="6">#REF!</definedName>
    <definedName name="dados5">#REF!</definedName>
    <definedName name="DADOS6" localSheetId="7">#REF!</definedName>
    <definedName name="DADOS6" localSheetId="10">#REF!</definedName>
    <definedName name="DADOS6" localSheetId="6">#REF!</definedName>
    <definedName name="DADOS6">#REF!</definedName>
    <definedName name="dadosadutora">[2]Drenagem!$D$4:$R$469</definedName>
    <definedName name="dadosesgoto">[2]Drenagem!$D$5:$R$408</definedName>
    <definedName name="EDER" localSheetId="7">#REF!</definedName>
    <definedName name="EDER" localSheetId="11">#REF!</definedName>
    <definedName name="EDER" localSheetId="10">#REF!</definedName>
    <definedName name="EDER" localSheetId="6">#REF!</definedName>
    <definedName name="EDER">#REF!</definedName>
    <definedName name="HHJ" localSheetId="7">#REF!</definedName>
    <definedName name="HHJ" localSheetId="11">#REF!</definedName>
    <definedName name="HHJ" localSheetId="10">#REF!</definedName>
    <definedName name="HHJ" localSheetId="6">#REF!</definedName>
    <definedName name="HHJ">#REF!</definedName>
    <definedName name="INSUMOS" localSheetId="7">#REF!</definedName>
    <definedName name="INSUMOS" localSheetId="11">#REF!</definedName>
    <definedName name="INSUMOS" localSheetId="10">#REF!</definedName>
    <definedName name="INSUMOS" localSheetId="6">#REF!</definedName>
    <definedName name="INSUMOS">#REF!</definedName>
    <definedName name="JTJ" localSheetId="7">#REF!</definedName>
    <definedName name="JTJ" localSheetId="10">#REF!</definedName>
    <definedName name="JTJ" localSheetId="6">#REF!</definedName>
    <definedName name="JTJ">#REF!</definedName>
    <definedName name="K1geral" localSheetId="7">'[3]PLANILHA QUANTITATIVA'!#REF!</definedName>
    <definedName name="K1geral" localSheetId="6">'[3]PLANILHA QUANTITATIVA'!#REF!</definedName>
    <definedName name="K1geral">'[3]PLANILHA QUANTITATIVA'!#REF!</definedName>
    <definedName name="lista" localSheetId="7">#REF!</definedName>
    <definedName name="lista" localSheetId="11">#REF!</definedName>
    <definedName name="lista" localSheetId="10">#REF!</definedName>
    <definedName name="lista" localSheetId="6">#REF!</definedName>
    <definedName name="lista">#REF!</definedName>
    <definedName name="lista2" localSheetId="7">#REF!</definedName>
    <definedName name="lista2" localSheetId="11">#REF!</definedName>
    <definedName name="lista2" localSheetId="10">#REF!</definedName>
    <definedName name="lista2" localSheetId="6">#REF!</definedName>
    <definedName name="lista2">#REF!</definedName>
    <definedName name="ORÇAMENTO.BancoRef" localSheetId="7" hidden="1">ORÇAMENTO!#REF!</definedName>
    <definedName name="ORÇAMENTO.BancoRef" localSheetId="11" hidden="1">'[4]URB. 7'!$F$7</definedName>
    <definedName name="ORÇAMENTO.BancoRef" localSheetId="10" hidden="1">'[4]URB. 7'!$F$7</definedName>
    <definedName name="ORÇAMENTO.BancoRef" localSheetId="13" hidden="1">'[4]URB. 7'!$F$7</definedName>
    <definedName name="ORÇAMENTO.BancoRef" localSheetId="6" hidden="1">ORÇAMENTO!#REF!</definedName>
    <definedName name="ORÇAMENTO.BancoRef" hidden="1">ORÇAMENTO!#REF!</definedName>
    <definedName name="planuilha" localSheetId="7">#REF!</definedName>
    <definedName name="planuilha" localSheetId="11">#REF!</definedName>
    <definedName name="planuilha" localSheetId="10">#REF!</definedName>
    <definedName name="planuilha" localSheetId="6">#REF!</definedName>
    <definedName name="planuilha">#REF!</definedName>
    <definedName name="REFERENCIA.Descricao" localSheetId="7" hidden="1">IF(ISNUMBER(ORÇAMENTO!$AG1),OFFSET(INDIRECT('DEMOL. RET.3'!ORÇAMENTO.BancoRef),ORÇAMENTO!$AG1-1,3,1),ORÇAMENTO!$AG1)</definedName>
    <definedName name="REFERENCIA.Descricao" localSheetId="11" hidden="1">IF(ISNUMBER('[4]URB. 7'!$AF1),OFFSET(INDIRECT(FONTE.7!ORÇAMENTO.BancoRef),'[4]URB. 7'!$AF1-1,3,1),'[4]URB. 7'!$AF1)</definedName>
    <definedName name="REFERENCIA.Descricao" localSheetId="10" hidden="1">IF(ISNUMBER('[4]URB. 7'!$AF1),OFFSET(INDIRECT(PLAY.6!ORÇAMENTO.BancoRef),'[4]URB. 7'!$AF1-1,3,1),'[4]URB. 7'!$AF1)</definedName>
    <definedName name="REFERENCIA.Descricao" localSheetId="13" hidden="1">IF(ISNUMBER('[4]URB. 7'!$AF1),OFFSET(INDIRECT(PORT.9!ORÇAMENTO.BancoRef),'[4]URB. 7'!$AF1-1,3,1),'[4]URB. 7'!$AF1)</definedName>
    <definedName name="REFERENCIA.Descricao" localSheetId="6" hidden="1">IF(ISNUMBER(ORÇAMENTO!$AG1),OFFSET(INDIRECT('SERV. PREL.2'!ORÇAMENTO.BancoRef),ORÇAMENTO!$AG1-1,3,1),ORÇAMENTO!$AG1)</definedName>
    <definedName name="REFERENCIA.Descricao" hidden="1">IF(ISNUMBER(ORÇAMENTO!$AG1),OFFSET(INDIRECT(ORÇAMENTO.BancoRef),ORÇAMENTO!$AG1-1,3,1),ORÇAMENTO!$AG1)</definedName>
    <definedName name="REFERENCIA.Unidade" localSheetId="7" hidden="1">IF(ISNUMBER(ORÇAMENTO!$AG1),OFFSET(INDIRECT('DEMOL. RET.3'!ORÇAMENTO.BancoRef),ORÇAMENTO!$AG1-1,4,1),"-")</definedName>
    <definedName name="REFERENCIA.Unidade" localSheetId="6" hidden="1">IF(ISNUMBER(ORÇAMENTO!$AG1),OFFSET(INDIRECT('SERV. PREL.2'!ORÇAMENTO.BancoRef),ORÇAMENTO!$AG1-1,4,1),"-")</definedName>
    <definedName name="REFERENCIA.Unidade" hidden="1">IF(ISNUMBER(ORÇAMENTO!$AG1),OFFSET(INDIRECT(ORÇAMENTO.BancoRef),ORÇAMENTO!$AG1-1,4,1),"-")</definedName>
    <definedName name="RESVALORES" localSheetId="7">#REF!</definedName>
    <definedName name="RESVALORES" localSheetId="11">#REF!</definedName>
    <definedName name="RESVALORES" localSheetId="10">#REF!</definedName>
    <definedName name="RESVALORES" localSheetId="6">#REF!</definedName>
    <definedName name="RESVALORES">#REF!</definedName>
    <definedName name="SAASD">#REF!</definedName>
    <definedName name="SDAASD">#REF!</definedName>
    <definedName name="SDADA">#REF!</definedName>
    <definedName name="_xlnm.Print_Titles" localSheetId="2">BDI!$1:$9</definedName>
    <definedName name="_xlnm.Print_Titles" localSheetId="4">COMPOSIÇÕES!$1:$11</definedName>
    <definedName name="_xlnm.Print_Titles" localSheetId="1">CRONOGRAMA!$1:$11</definedName>
    <definedName name="_xlnm.Print_Titles" localSheetId="12">ELÉTRICO.8!$1:$11</definedName>
    <definedName name="_xlnm.Print_Titles" localSheetId="11">FONTE.7!$1:$11</definedName>
    <definedName name="_xlnm.Print_Titles" localSheetId="3">ORÇAMENTO!$1:$13</definedName>
    <definedName name="_xlnm.Print_Titles" localSheetId="8">PAV.4!$1:$9</definedName>
    <definedName name="_xlnm.Print_Titles" localSheetId="10">PLAY.6!$1:$11</definedName>
    <definedName name="_xlnm.Print_Titles" localSheetId="13">PORT.9!$1:$11</definedName>
    <definedName name="VIGASBALDRAMES">'[5]001-VIG_FUND-AGO2000'!$B$13:$IV$8135</definedName>
    <definedName name="Wal" localSheetId="7">#REF!</definedName>
    <definedName name="Wal" localSheetId="11">#REF!</definedName>
    <definedName name="Wal" localSheetId="10">#REF!</definedName>
    <definedName name="Wal" localSheetId="6">#REF!</definedName>
    <definedName name="Wal">#REF!</definedName>
    <definedName name="walt4" localSheetId="7">#REF!</definedName>
    <definedName name="walt4" localSheetId="11">#REF!</definedName>
    <definedName name="walt4" localSheetId="10">#REF!</definedName>
    <definedName name="walt4" localSheetId="6">#REF!</definedName>
    <definedName name="walt4">#REF!</definedName>
  </definedNames>
  <calcPr calcId="191029"/>
</workbook>
</file>

<file path=xl/calcChain.xml><?xml version="1.0" encoding="utf-8"?>
<calcChain xmlns="http://schemas.openxmlformats.org/spreadsheetml/2006/main">
  <c r="P16" i="1" l="1"/>
  <c r="P21" i="1"/>
  <c r="P25" i="1"/>
  <c r="P26" i="1"/>
  <c r="P29" i="1"/>
  <c r="P36" i="1"/>
  <c r="P41" i="1"/>
  <c r="P45" i="1"/>
  <c r="P51" i="1"/>
  <c r="P54" i="1"/>
  <c r="P55" i="1"/>
  <c r="P60" i="1"/>
  <c r="P64" i="1"/>
  <c r="P68" i="1"/>
  <c r="P74" i="1"/>
  <c r="P80" i="1"/>
  <c r="P81" i="1"/>
  <c r="P82" i="1"/>
  <c r="P91" i="1"/>
  <c r="P96" i="1"/>
  <c r="P99" i="1"/>
  <c r="P103" i="1"/>
  <c r="P105" i="1"/>
  <c r="P106" i="1"/>
  <c r="P124" i="1"/>
  <c r="P139" i="1"/>
  <c r="P142" i="1"/>
  <c r="P162" i="1"/>
  <c r="P163" i="1"/>
  <c r="P170" i="1"/>
  <c r="P173" i="1"/>
  <c r="P178" i="1"/>
  <c r="P181" i="1"/>
  <c r="P186" i="1"/>
  <c r="D39" i="6"/>
  <c r="D36" i="6"/>
  <c r="D33" i="6"/>
  <c r="D30" i="6"/>
  <c r="D27" i="6"/>
  <c r="D24" i="6"/>
  <c r="D21" i="6"/>
  <c r="D18" i="6"/>
  <c r="D15" i="6"/>
  <c r="D12" i="6"/>
  <c r="H188" i="1" l="1"/>
  <c r="H185" i="1"/>
  <c r="H184" i="1"/>
  <c r="H183" i="1"/>
  <c r="H180" i="1"/>
  <c r="H179" i="1"/>
  <c r="H176" i="1"/>
  <c r="H177" i="1"/>
  <c r="H175" i="1"/>
  <c r="H174" i="1"/>
  <c r="H166" i="1"/>
  <c r="H167" i="1"/>
  <c r="H168" i="1"/>
  <c r="H169" i="1"/>
  <c r="H165" i="1"/>
  <c r="H164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45" i="1"/>
  <c r="H144" i="1"/>
  <c r="H138" i="1"/>
  <c r="P138" i="1" s="1"/>
  <c r="H127" i="1"/>
  <c r="H128" i="1"/>
  <c r="H129" i="1"/>
  <c r="H130" i="1"/>
  <c r="H131" i="1"/>
  <c r="H132" i="1"/>
  <c r="H133" i="1"/>
  <c r="H134" i="1"/>
  <c r="H135" i="1"/>
  <c r="H136" i="1"/>
  <c r="H137" i="1"/>
  <c r="P137" i="1" s="1"/>
  <c r="H126" i="1"/>
  <c r="H114" i="1"/>
  <c r="H115" i="1"/>
  <c r="H116" i="1"/>
  <c r="H117" i="1"/>
  <c r="H118" i="1"/>
  <c r="H119" i="1"/>
  <c r="H108" i="1"/>
  <c r="H109" i="1"/>
  <c r="H110" i="1"/>
  <c r="H111" i="1"/>
  <c r="H112" i="1"/>
  <c r="H113" i="1"/>
  <c r="H102" i="1"/>
  <c r="H107" i="1"/>
  <c r="H98" i="1"/>
  <c r="H97" i="1"/>
  <c r="H94" i="1"/>
  <c r="H95" i="1"/>
  <c r="H93" i="1"/>
  <c r="H92" i="1"/>
  <c r="H86" i="1"/>
  <c r="H87" i="1"/>
  <c r="H88" i="1"/>
  <c r="H89" i="1"/>
  <c r="H90" i="1"/>
  <c r="H85" i="1"/>
  <c r="H84" i="1"/>
  <c r="H83" i="1"/>
  <c r="H78" i="1"/>
  <c r="H79" i="1"/>
  <c r="H77" i="1"/>
  <c r="H76" i="1"/>
  <c r="H75" i="1"/>
  <c r="H67" i="1"/>
  <c r="H66" i="1"/>
  <c r="H65" i="1"/>
  <c r="H63" i="1"/>
  <c r="H62" i="1"/>
  <c r="H61" i="1"/>
  <c r="H59" i="1"/>
  <c r="H58" i="1"/>
  <c r="H57" i="1"/>
  <c r="H56" i="1"/>
  <c r="H48" i="1"/>
  <c r="H49" i="1"/>
  <c r="H50" i="1"/>
  <c r="H47" i="1"/>
  <c r="H46" i="1"/>
  <c r="H43" i="1"/>
  <c r="H42" i="1"/>
  <c r="H39" i="1"/>
  <c r="H38" i="1"/>
  <c r="H37" i="1"/>
  <c r="H31" i="1"/>
  <c r="H32" i="1"/>
  <c r="H30" i="1"/>
  <c r="H28" i="1"/>
  <c r="H23" i="1"/>
  <c r="H22" i="1"/>
  <c r="H18" i="1"/>
  <c r="H19" i="1"/>
  <c r="H20" i="1"/>
  <c r="H17" i="1"/>
  <c r="G187" i="1"/>
  <c r="G182" i="1"/>
  <c r="G172" i="1"/>
  <c r="G171" i="1"/>
  <c r="G143" i="1"/>
  <c r="G141" i="1"/>
  <c r="G140" i="1"/>
  <c r="G125" i="1"/>
  <c r="G123" i="1"/>
  <c r="G122" i="1"/>
  <c r="G121" i="1"/>
  <c r="G120" i="1"/>
  <c r="G104" i="1"/>
  <c r="G101" i="1"/>
  <c r="G100" i="1"/>
  <c r="G73" i="1"/>
  <c r="G72" i="1"/>
  <c r="G71" i="1"/>
  <c r="G70" i="1"/>
  <c r="G69" i="1"/>
  <c r="G53" i="1"/>
  <c r="G52" i="1"/>
  <c r="G44" i="1"/>
  <c r="G40" i="1"/>
  <c r="G35" i="1"/>
  <c r="G34" i="1"/>
  <c r="G33" i="1"/>
  <c r="G27" i="1"/>
  <c r="G24" i="1"/>
  <c r="G15" i="1"/>
  <c r="G360" i="12"/>
  <c r="G359" i="12"/>
  <c r="G358" i="12"/>
  <c r="G357" i="12"/>
  <c r="G356" i="12"/>
  <c r="G335" i="12"/>
  <c r="G334" i="12"/>
  <c r="G333" i="12"/>
  <c r="G332" i="12"/>
  <c r="G331" i="12"/>
  <c r="G330" i="12"/>
  <c r="G323" i="12"/>
  <c r="G324" i="12"/>
  <c r="G322" i="12"/>
  <c r="G321" i="12"/>
  <c r="G320" i="12"/>
  <c r="G314" i="12"/>
  <c r="G313" i="12"/>
  <c r="G31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286" i="12"/>
  <c r="G292" i="12"/>
  <c r="G278" i="12"/>
  <c r="G279" i="12"/>
  <c r="G280" i="12"/>
  <c r="G277" i="12"/>
  <c r="G276" i="12"/>
  <c r="G275" i="12"/>
  <c r="G274" i="12"/>
  <c r="G265" i="12"/>
  <c r="G266" i="12"/>
  <c r="G267" i="12"/>
  <c r="G268" i="12"/>
  <c r="G264" i="12"/>
  <c r="G263" i="12"/>
  <c r="G262" i="12"/>
  <c r="G261" i="12"/>
  <c r="G260" i="12"/>
  <c r="G254" i="12"/>
  <c r="G253" i="12"/>
  <c r="G252" i="12"/>
  <c r="G251" i="12"/>
  <c r="G250" i="12"/>
  <c r="G244" i="12"/>
  <c r="G243" i="12"/>
  <c r="G242" i="12"/>
  <c r="G241" i="12"/>
  <c r="G235" i="12"/>
  <c r="G234" i="12"/>
  <c r="G233" i="12"/>
  <c r="G227" i="12"/>
  <c r="G226" i="12"/>
  <c r="G225" i="12"/>
  <c r="G224" i="12"/>
  <c r="G218" i="12"/>
  <c r="G217" i="12"/>
  <c r="G216" i="12"/>
  <c r="G21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195" i="12"/>
  <c r="G194" i="12"/>
  <c r="G193" i="12"/>
  <c r="G192" i="12"/>
  <c r="G180" i="12"/>
  <c r="G181" i="12"/>
  <c r="G182" i="12"/>
  <c r="G183" i="12"/>
  <c r="G184" i="12"/>
  <c r="G185" i="12"/>
  <c r="G186" i="12"/>
  <c r="G179" i="12"/>
  <c r="G178" i="12"/>
  <c r="G177" i="12"/>
  <c r="G176" i="12"/>
  <c r="G175" i="12"/>
  <c r="G174" i="12"/>
  <c r="G168" i="12"/>
  <c r="G167" i="12"/>
  <c r="G166" i="12"/>
  <c r="G165" i="12"/>
  <c r="G164" i="12"/>
  <c r="G163" i="12"/>
  <c r="G153" i="12"/>
  <c r="G154" i="12"/>
  <c r="G155" i="12"/>
  <c r="G156" i="12"/>
  <c r="G157" i="12"/>
  <c r="G152" i="12"/>
  <c r="G146" i="12"/>
  <c r="G140" i="12"/>
  <c r="G134" i="12"/>
  <c r="G128" i="12"/>
  <c r="G122" i="12"/>
  <c r="G112" i="12"/>
  <c r="G113" i="12"/>
  <c r="G114" i="12"/>
  <c r="G115" i="12"/>
  <c r="G116" i="12"/>
  <c r="G111" i="12"/>
  <c r="G110" i="12"/>
  <c r="G109" i="12"/>
  <c r="G100" i="12"/>
  <c r="G101" i="12"/>
  <c r="G102" i="12"/>
  <c r="G103" i="12"/>
  <c r="G99" i="12"/>
  <c r="G98" i="12"/>
  <c r="G97" i="12"/>
  <c r="G96" i="12"/>
  <c r="G89" i="12"/>
  <c r="G90" i="12"/>
  <c r="G88" i="12"/>
  <c r="G87" i="12"/>
  <c r="G78" i="12"/>
  <c r="G79" i="12"/>
  <c r="G80" i="12"/>
  <c r="G81" i="12"/>
  <c r="G77" i="12"/>
  <c r="G76" i="12"/>
  <c r="G66" i="12"/>
  <c r="G67" i="12"/>
  <c r="G68" i="12"/>
  <c r="G69" i="12"/>
  <c r="G70" i="12"/>
  <c r="G65" i="12"/>
  <c r="G64" i="12"/>
  <c r="G63" i="12"/>
  <c r="G62" i="12"/>
  <c r="G54" i="12"/>
  <c r="G55" i="12"/>
  <c r="G56" i="12"/>
  <c r="G53" i="12"/>
  <c r="G46" i="12"/>
  <c r="G47" i="12"/>
  <c r="G45" i="12"/>
  <c r="G44" i="12"/>
  <c r="G34" i="12"/>
  <c r="G35" i="12"/>
  <c r="G36" i="12"/>
  <c r="G37" i="12"/>
  <c r="G38" i="12"/>
  <c r="G33" i="12"/>
  <c r="G32" i="12"/>
  <c r="G31" i="12"/>
  <c r="G25" i="12"/>
  <c r="G24" i="12"/>
  <c r="G23" i="12"/>
  <c r="G17" i="12"/>
  <c r="G16" i="12"/>
  <c r="B36" i="6"/>
  <c r="F187" i="1" l="1"/>
  <c r="A16" i="29"/>
  <c r="D187" i="1"/>
  <c r="B16" i="29" s="1"/>
  <c r="B187" i="1"/>
  <c r="E358" i="12"/>
  <c r="E356" i="12"/>
  <c r="H356" i="12" s="1"/>
  <c r="B347" i="12"/>
  <c r="B351" i="12" s="1"/>
  <c r="E359" i="12" s="1"/>
  <c r="H359" i="12" s="1"/>
  <c r="E357" i="12"/>
  <c r="H357" i="12" s="1"/>
  <c r="H358" i="12"/>
  <c r="A337" i="12"/>
  <c r="H360" i="12"/>
  <c r="C103" i="15"/>
  <c r="F35" i="1" s="1"/>
  <c r="A97" i="15"/>
  <c r="D35" i="1"/>
  <c r="B97" i="15" s="1"/>
  <c r="B35" i="1"/>
  <c r="H62" i="12"/>
  <c r="H67" i="12"/>
  <c r="H66" i="12"/>
  <c r="H65" i="12"/>
  <c r="H64" i="12"/>
  <c r="H70" i="12"/>
  <c r="H69" i="12"/>
  <c r="H68" i="12"/>
  <c r="H63" i="12"/>
  <c r="H71" i="12" l="1"/>
  <c r="H35" i="1" s="1"/>
  <c r="P35" i="1" s="1"/>
  <c r="H361" i="12"/>
  <c r="H187" i="1" s="1"/>
  <c r="P187" i="1" s="1"/>
  <c r="C163" i="15"/>
  <c r="D165" i="15" s="1"/>
  <c r="H168" i="15" s="1"/>
  <c r="E161" i="15"/>
  <c r="E168" i="15" s="1"/>
  <c r="E169" i="15" l="1"/>
  <c r="D171" i="15" s="1"/>
  <c r="F39" i="1" s="1"/>
  <c r="P39" i="1" s="1"/>
  <c r="F20" i="1"/>
  <c r="P20" i="1" s="1"/>
  <c r="B35" i="36"/>
  <c r="A35" i="36"/>
  <c r="H87" i="12"/>
  <c r="D69" i="16"/>
  <c r="F28" i="16"/>
  <c r="F42" i="16"/>
  <c r="F43" i="16"/>
  <c r="F44" i="16"/>
  <c r="F45" i="16"/>
  <c r="F41" i="16"/>
  <c r="D28" i="16"/>
  <c r="B44" i="1"/>
  <c r="D44" i="1"/>
  <c r="B37" i="16" s="1"/>
  <c r="B235" i="35"/>
  <c r="B236" i="35"/>
  <c r="F236" i="35"/>
  <c r="F208" i="35"/>
  <c r="H208" i="35" s="1"/>
  <c r="F209" i="35"/>
  <c r="F237" i="35" s="1"/>
  <c r="F207" i="35"/>
  <c r="H207" i="35" s="1"/>
  <c r="F205" i="35"/>
  <c r="F203" i="35"/>
  <c r="F201" i="35"/>
  <c r="F199" i="35"/>
  <c r="F69" i="37"/>
  <c r="E54" i="37"/>
  <c r="C8" i="6"/>
  <c r="C30" i="29"/>
  <c r="H7" i="6"/>
  <c r="H209" i="35" l="1"/>
  <c r="B217" i="35"/>
  <c r="D30" i="16"/>
  <c r="F42" i="1" s="1"/>
  <c r="P42" i="1" s="1"/>
  <c r="C47" i="16"/>
  <c r="F44" i="1" s="1"/>
  <c r="H28" i="16"/>
  <c r="D73" i="1"/>
  <c r="A199" i="34" l="1"/>
  <c r="B56" i="15"/>
  <c r="A56" i="15"/>
  <c r="D63" i="15"/>
  <c r="F30" i="1" s="1"/>
  <c r="P30" i="1" s="1"/>
  <c r="I4" i="6" l="1"/>
  <c r="F73" i="1" l="1"/>
  <c r="F72" i="1"/>
  <c r="F71" i="1"/>
  <c r="F70" i="1"/>
  <c r="F69" i="1"/>
  <c r="D141" i="1" l="1"/>
  <c r="B141" i="1"/>
  <c r="D72" i="1"/>
  <c r="D71" i="1"/>
  <c r="D70" i="1"/>
  <c r="D69" i="1"/>
  <c r="B73" i="1"/>
  <c r="B72" i="1"/>
  <c r="B71" i="1"/>
  <c r="B70" i="1"/>
  <c r="B69" i="1"/>
  <c r="H286" i="12"/>
  <c r="H146" i="12"/>
  <c r="H147" i="12" s="1"/>
  <c r="H73" i="1" s="1"/>
  <c r="P73" i="1" s="1"/>
  <c r="H140" i="12"/>
  <c r="H141" i="12" s="1"/>
  <c r="H72" i="1" s="1"/>
  <c r="P72" i="1" s="1"/>
  <c r="H134" i="12"/>
  <c r="H135" i="12" s="1"/>
  <c r="H71" i="1" s="1"/>
  <c r="P71" i="1" s="1"/>
  <c r="H128" i="12"/>
  <c r="H129" i="12" s="1"/>
  <c r="H70" i="1" s="1"/>
  <c r="P70" i="1" s="1"/>
  <c r="H122" i="12"/>
  <c r="H123" i="12" s="1"/>
  <c r="H69" i="1" s="1"/>
  <c r="P69" i="1" s="1"/>
  <c r="H287" i="12" l="1"/>
  <c r="H141" i="1" s="1"/>
  <c r="P141" i="1" s="1"/>
  <c r="H36" i="12"/>
  <c r="H35" i="12"/>
  <c r="C33" i="15"/>
  <c r="G33" i="15" s="1"/>
  <c r="D35" i="15" s="1"/>
  <c r="D430" i="33" l="1"/>
  <c r="D422" i="33"/>
  <c r="D414" i="33"/>
  <c r="D406" i="33"/>
  <c r="D393" i="33"/>
  <c r="D379" i="33"/>
  <c r="D323" i="33"/>
  <c r="D267" i="33"/>
  <c r="D211" i="33"/>
  <c r="D198" i="33"/>
  <c r="D190" i="33"/>
  <c r="D177" i="33"/>
  <c r="D166" i="33"/>
  <c r="D131" i="33"/>
  <c r="D98" i="33"/>
  <c r="D38" i="33"/>
  <c r="H227" i="12"/>
  <c r="D40" i="1" l="1"/>
  <c r="B40" i="1"/>
  <c r="H81" i="12"/>
  <c r="H80" i="12"/>
  <c r="H79" i="12"/>
  <c r="H78" i="12"/>
  <c r="H77" i="12"/>
  <c r="H76" i="12"/>
  <c r="H82" i="12" l="1"/>
  <c r="H40" i="1" s="1"/>
  <c r="D182" i="1" l="1"/>
  <c r="B182" i="1"/>
  <c r="H332" i="12"/>
  <c r="H333" i="12"/>
  <c r="H334" i="12"/>
  <c r="H335" i="12"/>
  <c r="H331" i="12"/>
  <c r="H330" i="12"/>
  <c r="D171" i="1"/>
  <c r="D172" i="1"/>
  <c r="B172" i="1"/>
  <c r="B171" i="1"/>
  <c r="H324" i="12"/>
  <c r="H323" i="12"/>
  <c r="H322" i="12"/>
  <c r="H321" i="12"/>
  <c r="H320" i="12"/>
  <c r="H313" i="12"/>
  <c r="H314" i="12"/>
  <c r="H312" i="12"/>
  <c r="D143" i="1"/>
  <c r="B143" i="1"/>
  <c r="E294" i="12"/>
  <c r="H294" i="12" s="1"/>
  <c r="H293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292" i="12"/>
  <c r="D140" i="1"/>
  <c r="B140" i="1"/>
  <c r="E280" i="12"/>
  <c r="H280" i="12" s="1"/>
  <c r="E279" i="12"/>
  <c r="H279" i="12" s="1"/>
  <c r="E278" i="12"/>
  <c r="H278" i="12" s="1"/>
  <c r="E277" i="12"/>
  <c r="H277" i="12" s="1"/>
  <c r="E276" i="12"/>
  <c r="H276" i="12" s="1"/>
  <c r="E275" i="12"/>
  <c r="H275" i="12" s="1"/>
  <c r="E274" i="12"/>
  <c r="H274" i="12" s="1"/>
  <c r="D125" i="1"/>
  <c r="B125" i="1"/>
  <c r="H261" i="12"/>
  <c r="H262" i="12"/>
  <c r="H263" i="12"/>
  <c r="H264" i="12"/>
  <c r="H265" i="12"/>
  <c r="H266" i="12"/>
  <c r="H267" i="12"/>
  <c r="H268" i="12"/>
  <c r="H260" i="12"/>
  <c r="D123" i="1"/>
  <c r="B123" i="1"/>
  <c r="E254" i="12"/>
  <c r="H254" i="12" s="1"/>
  <c r="H251" i="12"/>
  <c r="H252" i="12"/>
  <c r="H253" i="12"/>
  <c r="H250" i="12"/>
  <c r="D122" i="1"/>
  <c r="B122" i="1"/>
  <c r="H244" i="12"/>
  <c r="H243" i="12"/>
  <c r="H242" i="12"/>
  <c r="H241" i="12"/>
  <c r="D121" i="1"/>
  <c r="B121" i="1"/>
  <c r="H235" i="12"/>
  <c r="H234" i="12"/>
  <c r="H233" i="12"/>
  <c r="H226" i="12"/>
  <c r="H225" i="12"/>
  <c r="H224" i="12"/>
  <c r="D120" i="1"/>
  <c r="B120" i="1"/>
  <c r="H217" i="12"/>
  <c r="H218" i="12"/>
  <c r="H216" i="12"/>
  <c r="H215" i="12"/>
  <c r="H199" i="12"/>
  <c r="H200" i="12"/>
  <c r="H201" i="12"/>
  <c r="H202" i="12"/>
  <c r="H203" i="12"/>
  <c r="H204" i="12"/>
  <c r="H205" i="12"/>
  <c r="H206" i="12"/>
  <c r="H207" i="12"/>
  <c r="H208" i="12"/>
  <c r="H209" i="12"/>
  <c r="H198" i="12"/>
  <c r="H197" i="12"/>
  <c r="H196" i="12"/>
  <c r="H195" i="12"/>
  <c r="H194" i="12"/>
  <c r="H193" i="12"/>
  <c r="H192" i="12"/>
  <c r="D104" i="1"/>
  <c r="B104" i="1"/>
  <c r="E178" i="12"/>
  <c r="H178" i="12" s="1"/>
  <c r="E177" i="12"/>
  <c r="H177" i="12" s="1"/>
  <c r="E176" i="12"/>
  <c r="H176" i="12" s="1"/>
  <c r="E175" i="12"/>
  <c r="H175" i="12" s="1"/>
  <c r="E174" i="12"/>
  <c r="H174" i="12" s="1"/>
  <c r="H179" i="12"/>
  <c r="H180" i="12"/>
  <c r="H181" i="12"/>
  <c r="H182" i="12"/>
  <c r="H183" i="12"/>
  <c r="H184" i="12"/>
  <c r="H185" i="12"/>
  <c r="H186" i="12"/>
  <c r="D101" i="1"/>
  <c r="D100" i="1"/>
  <c r="B101" i="1"/>
  <c r="B100" i="1"/>
  <c r="H165" i="12"/>
  <c r="H166" i="12"/>
  <c r="H167" i="12"/>
  <c r="H168" i="12"/>
  <c r="H164" i="12"/>
  <c r="H163" i="12"/>
  <c r="H336" i="12" l="1"/>
  <c r="H182" i="1" s="1"/>
  <c r="H236" i="12"/>
  <c r="H121" i="1" s="1"/>
  <c r="H315" i="12"/>
  <c r="H171" i="1" s="1"/>
  <c r="H169" i="12"/>
  <c r="H101" i="1" s="1"/>
  <c r="H228" i="12"/>
  <c r="H210" i="12"/>
  <c r="H245" i="12"/>
  <c r="H122" i="1" s="1"/>
  <c r="H187" i="12"/>
  <c r="H104" i="1" s="1"/>
  <c r="H281" i="12"/>
  <c r="H140" i="1" s="1"/>
  <c r="P140" i="1" s="1"/>
  <c r="H219" i="12"/>
  <c r="H120" i="1" s="1"/>
  <c r="H255" i="12"/>
  <c r="H123" i="1" s="1"/>
  <c r="H269" i="12"/>
  <c r="H125" i="1" s="1"/>
  <c r="H307" i="12"/>
  <c r="H143" i="1" s="1"/>
  <c r="H325" i="12"/>
  <c r="H172" i="1" s="1"/>
  <c r="D23" i="35"/>
  <c r="B23" i="35"/>
  <c r="H157" i="12"/>
  <c r="H156" i="12"/>
  <c r="H155" i="12"/>
  <c r="H154" i="12"/>
  <c r="H153" i="12"/>
  <c r="H152" i="12"/>
  <c r="H158" i="12" l="1"/>
  <c r="H100" i="1" s="1"/>
  <c r="B69" i="16" l="1"/>
  <c r="B65" i="16"/>
  <c r="A65" i="16"/>
  <c r="B50" i="16"/>
  <c r="H69" i="16" l="1"/>
  <c r="F48" i="1" s="1"/>
  <c r="P48" i="1" s="1"/>
  <c r="C71" i="16" l="1"/>
  <c r="E78" i="15"/>
  <c r="E79" i="15"/>
  <c r="E77" i="15"/>
  <c r="C95" i="15"/>
  <c r="F34" i="1" s="1"/>
  <c r="C88" i="15"/>
  <c r="F33" i="1" s="1"/>
  <c r="D81" i="15" l="1"/>
  <c r="F32" i="1" s="1"/>
  <c r="P32" i="1" s="1"/>
  <c r="A83" i="15"/>
  <c r="B157" i="15" l="1"/>
  <c r="A157" i="15"/>
  <c r="J141" i="15"/>
  <c r="J140" i="15"/>
  <c r="C147" i="15"/>
  <c r="D149" i="15" s="1"/>
  <c r="H152" i="15" s="1"/>
  <c r="J115" i="15"/>
  <c r="J116" i="15"/>
  <c r="J114" i="15"/>
  <c r="J139" i="15"/>
  <c r="E179" i="15"/>
  <c r="F40" i="1" s="1"/>
  <c r="P40" i="1" s="1"/>
  <c r="J110" i="15"/>
  <c r="J109" i="15"/>
  <c r="J108" i="15"/>
  <c r="J138" i="15"/>
  <c r="J137" i="15"/>
  <c r="J136" i="15"/>
  <c r="C125" i="15"/>
  <c r="C124" i="15"/>
  <c r="C123" i="15"/>
  <c r="C122" i="15"/>
  <c r="J111" i="15"/>
  <c r="A173" i="15"/>
  <c r="B134" i="15"/>
  <c r="A134" i="15"/>
  <c r="A106" i="15"/>
  <c r="B106" i="15"/>
  <c r="B105" i="15"/>
  <c r="A105" i="15"/>
  <c r="B173" i="15"/>
  <c r="D72" i="15"/>
  <c r="F31" i="1" s="1"/>
  <c r="P31" i="1" s="1"/>
  <c r="A90" i="15"/>
  <c r="B74" i="15"/>
  <c r="A74" i="15"/>
  <c r="B65" i="15"/>
  <c r="A65" i="15"/>
  <c r="B55" i="15"/>
  <c r="A55" i="15"/>
  <c r="F24" i="1"/>
  <c r="F15" i="1"/>
  <c r="J39" i="15"/>
  <c r="J40" i="15"/>
  <c r="E51" i="37"/>
  <c r="B53" i="1"/>
  <c r="D53" i="1"/>
  <c r="D52" i="1"/>
  <c r="H116" i="12"/>
  <c r="H115" i="12"/>
  <c r="E114" i="12"/>
  <c r="H114" i="12" s="1"/>
  <c r="E113" i="12"/>
  <c r="H113" i="12" s="1"/>
  <c r="E112" i="12"/>
  <c r="H112" i="12" s="1"/>
  <c r="E111" i="12"/>
  <c r="H111" i="12" s="1"/>
  <c r="E110" i="12"/>
  <c r="H110" i="12" s="1"/>
  <c r="E109" i="12"/>
  <c r="H109" i="12" s="1"/>
  <c r="B52" i="1"/>
  <c r="H103" i="12"/>
  <c r="H102" i="12"/>
  <c r="E101" i="12"/>
  <c r="H101" i="12" s="1"/>
  <c r="E100" i="12"/>
  <c r="H100" i="12" s="1"/>
  <c r="E99" i="12"/>
  <c r="H99" i="12" s="1"/>
  <c r="E98" i="12"/>
  <c r="H98" i="12" s="1"/>
  <c r="E97" i="12"/>
  <c r="H97" i="12" s="1"/>
  <c r="E96" i="12"/>
  <c r="H96" i="12" s="1"/>
  <c r="H90" i="12"/>
  <c r="H89" i="12"/>
  <c r="H88" i="12"/>
  <c r="H8" i="6"/>
  <c r="C6" i="6"/>
  <c r="B12" i="6"/>
  <c r="A13" i="6"/>
  <c r="A16" i="6"/>
  <c r="B15" i="6"/>
  <c r="B18" i="6"/>
  <c r="A19" i="6"/>
  <c r="A22" i="6"/>
  <c r="B24" i="6"/>
  <c r="A25" i="6"/>
  <c r="A28" i="6"/>
  <c r="B27" i="6"/>
  <c r="A31" i="6"/>
  <c r="B30" i="6"/>
  <c r="A34" i="6"/>
  <c r="B33" i="6"/>
  <c r="A37" i="6"/>
  <c r="A40" i="6"/>
  <c r="B39" i="6"/>
  <c r="A13" i="34"/>
  <c r="K4" i="34"/>
  <c r="I8" i="34"/>
  <c r="B8" i="34"/>
  <c r="I7" i="34"/>
  <c r="B6" i="34"/>
  <c r="A13" i="28"/>
  <c r="I8" i="28"/>
  <c r="C8" i="28"/>
  <c r="I7" i="28"/>
  <c r="C6" i="28"/>
  <c r="J4" i="28"/>
  <c r="A13" i="29"/>
  <c r="I8" i="29"/>
  <c r="C8" i="29"/>
  <c r="I7" i="29"/>
  <c r="C6" i="29"/>
  <c r="J4" i="29"/>
  <c r="A13" i="33"/>
  <c r="J8" i="33"/>
  <c r="C8" i="33"/>
  <c r="J7" i="33"/>
  <c r="C6" i="33"/>
  <c r="M4" i="33"/>
  <c r="A13" i="35"/>
  <c r="M4" i="35"/>
  <c r="J8" i="35"/>
  <c r="J7" i="35"/>
  <c r="C8" i="35"/>
  <c r="C6" i="35"/>
  <c r="O4" i="16"/>
  <c r="L8" i="16"/>
  <c r="L7" i="16"/>
  <c r="A13" i="16"/>
  <c r="C8" i="16"/>
  <c r="C6" i="16"/>
  <c r="J4" i="15"/>
  <c r="I8" i="15"/>
  <c r="C8" i="15"/>
  <c r="I7" i="15"/>
  <c r="C6" i="15"/>
  <c r="A13" i="37"/>
  <c r="I8" i="37"/>
  <c r="C8" i="37"/>
  <c r="I7" i="37"/>
  <c r="C6" i="37"/>
  <c r="L4" i="37"/>
  <c r="A13" i="36"/>
  <c r="I8" i="36"/>
  <c r="C8" i="36"/>
  <c r="I7" i="36"/>
  <c r="C6" i="36"/>
  <c r="L4" i="36"/>
  <c r="A13" i="13"/>
  <c r="L4" i="13"/>
  <c r="I8" i="13"/>
  <c r="I7" i="13"/>
  <c r="C8" i="13"/>
  <c r="C6" i="13"/>
  <c r="A73" i="37"/>
  <c r="B23" i="37"/>
  <c r="A23" i="37"/>
  <c r="I19" i="37"/>
  <c r="C21" i="37" s="1"/>
  <c r="F22" i="1" s="1"/>
  <c r="P22" i="1" s="1"/>
  <c r="B16" i="37"/>
  <c r="A16" i="37"/>
  <c r="B15" i="37"/>
  <c r="A15" i="37"/>
  <c r="C33" i="36"/>
  <c r="F19" i="1" s="1"/>
  <c r="P19" i="1" s="1"/>
  <c r="B29" i="36"/>
  <c r="A29" i="36"/>
  <c r="C27" i="36"/>
  <c r="F18" i="1" s="1"/>
  <c r="P18" i="1" s="1"/>
  <c r="A22" i="36"/>
  <c r="C20" i="36"/>
  <c r="F17" i="1" s="1"/>
  <c r="P17" i="1" s="1"/>
  <c r="A17" i="36"/>
  <c r="B15" i="36"/>
  <c r="A15" i="36"/>
  <c r="C66" i="37" l="1"/>
  <c r="C69" i="37" s="1"/>
  <c r="I69" i="37" s="1"/>
  <c r="D71" i="37" s="1"/>
  <c r="F23" i="1" s="1"/>
  <c r="P23" i="1" s="1"/>
  <c r="H91" i="12"/>
  <c r="H44" i="1" s="1"/>
  <c r="P44" i="1" s="1"/>
  <c r="H117" i="12"/>
  <c r="H53" i="1" s="1"/>
  <c r="H104" i="12"/>
  <c r="H52" i="1" s="1"/>
  <c r="C51" i="15"/>
  <c r="G51" i="15" s="1"/>
  <c r="D53" i="15" s="1"/>
  <c r="E143" i="15"/>
  <c r="E152" i="15" s="1"/>
  <c r="E153" i="15" s="1"/>
  <c r="D155" i="15" s="1"/>
  <c r="F38" i="1" s="1"/>
  <c r="P38" i="1" s="1"/>
  <c r="E118" i="15"/>
  <c r="E130" i="15" s="1"/>
  <c r="D127" i="15"/>
  <c r="H130" i="15" s="1"/>
  <c r="I4" i="8"/>
  <c r="H8" i="8"/>
  <c r="H7" i="8"/>
  <c r="D8" i="8"/>
  <c r="D6" i="8"/>
  <c r="D5" i="8"/>
  <c r="D4" i="8"/>
  <c r="F4" i="26"/>
  <c r="D8" i="26"/>
  <c r="B8" i="26"/>
  <c r="D7" i="26"/>
  <c r="B6" i="26"/>
  <c r="B5" i="26"/>
  <c r="B4" i="26"/>
  <c r="H4" i="12"/>
  <c r="G8" i="12"/>
  <c r="G7" i="12"/>
  <c r="B8" i="12"/>
  <c r="B6" i="12"/>
  <c r="B5" i="12"/>
  <c r="B4" i="12"/>
  <c r="D9" i="26"/>
  <c r="E131" i="15" l="1"/>
  <c r="D132" i="15" s="1"/>
  <c r="F37" i="1" s="1"/>
  <c r="P37" i="1" s="1"/>
  <c r="C5" i="6"/>
  <c r="C5" i="28"/>
  <c r="C5" i="16"/>
  <c r="C5" i="36"/>
  <c r="C5" i="13"/>
  <c r="C5" i="37"/>
  <c r="B5" i="34"/>
  <c r="C5" i="33"/>
  <c r="C5" i="35"/>
  <c r="C5" i="29"/>
  <c r="C5" i="15"/>
  <c r="B4" i="34"/>
  <c r="C4" i="35"/>
  <c r="C4" i="33"/>
  <c r="C4" i="15"/>
  <c r="C4" i="29"/>
  <c r="C4" i="16"/>
  <c r="C4" i="13"/>
  <c r="C4" i="6"/>
  <c r="C4" i="28"/>
  <c r="C4" i="36"/>
  <c r="C4" i="37"/>
  <c r="H9" i="6"/>
  <c r="I9" i="34"/>
  <c r="I9" i="29"/>
  <c r="I9" i="28"/>
  <c r="J9" i="35"/>
  <c r="J9" i="33"/>
  <c r="L9" i="16"/>
  <c r="I9" i="15"/>
  <c r="I9" i="36"/>
  <c r="I9" i="37"/>
  <c r="G9" i="12"/>
  <c r="I9" i="13"/>
  <c r="H9" i="8"/>
  <c r="D34" i="1" l="1"/>
  <c r="B90" i="15" s="1"/>
  <c r="D33" i="1"/>
  <c r="B83" i="15" s="1"/>
  <c r="B34" i="1"/>
  <c r="B33" i="1"/>
  <c r="D27" i="1"/>
  <c r="B27" i="1"/>
  <c r="D24" i="1"/>
  <c r="B73" i="37" s="1"/>
  <c r="B24" i="1"/>
  <c r="B22" i="36"/>
  <c r="B17" i="36"/>
  <c r="D15" i="1"/>
  <c r="B15" i="1"/>
  <c r="H44" i="12"/>
  <c r="H45" i="12"/>
  <c r="H46" i="12"/>
  <c r="H47" i="12"/>
  <c r="H54" i="12"/>
  <c r="H55" i="12"/>
  <c r="H56" i="12"/>
  <c r="H53" i="12"/>
  <c r="H37" i="12"/>
  <c r="H38" i="12"/>
  <c r="H33" i="12"/>
  <c r="H34" i="12"/>
  <c r="H32" i="12"/>
  <c r="H31" i="12"/>
  <c r="E25" i="12"/>
  <c r="H25" i="12" s="1"/>
  <c r="E24" i="12"/>
  <c r="H24" i="12" s="1"/>
  <c r="E23" i="12"/>
  <c r="H23" i="12" s="1"/>
  <c r="H57" i="12" l="1"/>
  <c r="H34" i="1" s="1"/>
  <c r="P34" i="1" s="1"/>
  <c r="H39" i="12"/>
  <c r="H27" i="1" s="1"/>
  <c r="H26" i="12"/>
  <c r="H24" i="1" s="1"/>
  <c r="P24" i="1" s="1"/>
  <c r="H48" i="12"/>
  <c r="H33" i="1" s="1"/>
  <c r="P33" i="1" s="1"/>
  <c r="L40" i="1" l="1"/>
  <c r="F161" i="1" l="1"/>
  <c r="P161" i="1" s="1"/>
  <c r="F160" i="1"/>
  <c r="P160" i="1" s="1"/>
  <c r="F159" i="1"/>
  <c r="P159" i="1" s="1"/>
  <c r="F158" i="1"/>
  <c r="P158" i="1" s="1"/>
  <c r="F157" i="1"/>
  <c r="P157" i="1" s="1"/>
  <c r="F156" i="1"/>
  <c r="P156" i="1" s="1"/>
  <c r="F155" i="1"/>
  <c r="P155" i="1" s="1"/>
  <c r="F154" i="1"/>
  <c r="P154" i="1" s="1"/>
  <c r="F153" i="1"/>
  <c r="P153" i="1" s="1"/>
  <c r="F152" i="1"/>
  <c r="P152" i="1" s="1"/>
  <c r="F151" i="1"/>
  <c r="P151" i="1" s="1"/>
  <c r="F150" i="1"/>
  <c r="P150" i="1" s="1"/>
  <c r="F146" i="1"/>
  <c r="P146" i="1" s="1"/>
  <c r="F145" i="1"/>
  <c r="P145" i="1" s="1"/>
  <c r="F144" i="1"/>
  <c r="P144" i="1" s="1"/>
  <c r="F143" i="1"/>
  <c r="P143" i="1" s="1"/>
  <c r="D55" i="28"/>
  <c r="H55" i="28" s="1"/>
  <c r="C57" i="28" s="1"/>
  <c r="F149" i="1" s="1"/>
  <c r="P149" i="1" s="1"/>
  <c r="B47" i="28"/>
  <c r="D47" i="28" s="1"/>
  <c r="H47" i="28" s="1"/>
  <c r="C49" i="28" s="1"/>
  <c r="F148" i="1" s="1"/>
  <c r="P148" i="1" s="1"/>
  <c r="D39" i="28"/>
  <c r="H39" i="28" s="1"/>
  <c r="C41" i="28" s="1"/>
  <c r="F147" i="1" s="1"/>
  <c r="P147" i="1" s="1"/>
  <c r="B109" i="28" l="1"/>
  <c r="A109" i="28"/>
  <c r="B104" i="28"/>
  <c r="A104" i="28"/>
  <c r="A99" i="28"/>
  <c r="B99" i="28"/>
  <c r="B79" i="28"/>
  <c r="B94" i="28"/>
  <c r="A94" i="28"/>
  <c r="B89" i="28"/>
  <c r="A89" i="28"/>
  <c r="B84" i="28"/>
  <c r="A84" i="28"/>
  <c r="A79" i="28"/>
  <c r="B74" i="28"/>
  <c r="A74" i="28"/>
  <c r="B69" i="28"/>
  <c r="A69" i="28"/>
  <c r="B64" i="28"/>
  <c r="A64" i="28"/>
  <c r="B59" i="28"/>
  <c r="A59" i="28"/>
  <c r="B51" i="28"/>
  <c r="A51" i="28"/>
  <c r="B43" i="28"/>
  <c r="A43" i="28"/>
  <c r="B34" i="28"/>
  <c r="A34" i="28"/>
  <c r="B25" i="28"/>
  <c r="A25" i="28"/>
  <c r="L28" i="1" l="1"/>
  <c r="J27" i="8" l="1"/>
  <c r="J20" i="8" s="1"/>
  <c r="J29" i="8" s="1"/>
  <c r="B7" i="1" l="1"/>
  <c r="F430" i="33"/>
  <c r="C432" i="33" s="1"/>
  <c r="F422" i="33"/>
  <c r="C424" i="33" s="1"/>
  <c r="F414" i="33"/>
  <c r="C416" i="33" s="1"/>
  <c r="F406" i="33"/>
  <c r="C408" i="33" s="1"/>
  <c r="F198" i="33"/>
  <c r="C200" i="33" s="1"/>
  <c r="A261" i="34"/>
  <c r="F123" i="1"/>
  <c r="P123" i="1" s="1"/>
  <c r="F122" i="1"/>
  <c r="P122" i="1" s="1"/>
  <c r="B261" i="34"/>
  <c r="F107" i="1"/>
  <c r="P107" i="1" s="1"/>
  <c r="A200" i="34"/>
  <c r="B200" i="34"/>
  <c r="I86" i="1" l="1"/>
  <c r="I90" i="1"/>
  <c r="I95" i="1"/>
  <c r="I101" i="1"/>
  <c r="I108" i="1"/>
  <c r="I112" i="1"/>
  <c r="I116" i="1"/>
  <c r="I120" i="1"/>
  <c r="I125" i="1"/>
  <c r="I129" i="1"/>
  <c r="I133" i="1"/>
  <c r="I137" i="1"/>
  <c r="I143" i="1"/>
  <c r="I147" i="1"/>
  <c r="J147" i="1" s="1"/>
  <c r="I151" i="1"/>
  <c r="J151" i="1" s="1"/>
  <c r="I155" i="1"/>
  <c r="J155" i="1" s="1"/>
  <c r="I159" i="1"/>
  <c r="J159" i="1" s="1"/>
  <c r="I165" i="1"/>
  <c r="I169" i="1"/>
  <c r="I175" i="1"/>
  <c r="I180" i="1"/>
  <c r="I185" i="1"/>
  <c r="I75" i="1"/>
  <c r="I79" i="1"/>
  <c r="I70" i="1"/>
  <c r="I65" i="1"/>
  <c r="I57" i="1"/>
  <c r="I49" i="1"/>
  <c r="I48" i="1"/>
  <c r="J48" i="1" s="1"/>
  <c r="I44" i="1"/>
  <c r="J44" i="1" s="1"/>
  <c r="I38" i="1"/>
  <c r="J38" i="1" s="1"/>
  <c r="I33" i="1"/>
  <c r="J33" i="1" s="1"/>
  <c r="I28" i="1"/>
  <c r="I22" i="1"/>
  <c r="I17" i="1"/>
  <c r="I92" i="1"/>
  <c r="I109" i="1"/>
  <c r="I117" i="1"/>
  <c r="I130" i="1"/>
  <c r="I138" i="1"/>
  <c r="I148" i="1"/>
  <c r="J148" i="1" s="1"/>
  <c r="I156" i="1"/>
  <c r="J156" i="1" s="1"/>
  <c r="I166" i="1"/>
  <c r="I176" i="1"/>
  <c r="I76" i="1"/>
  <c r="I69" i="1"/>
  <c r="I58" i="1"/>
  <c r="I50" i="1"/>
  <c r="I42" i="1"/>
  <c r="I34" i="1"/>
  <c r="J34" i="1" s="1"/>
  <c r="I27" i="1"/>
  <c r="I84" i="1"/>
  <c r="I93" i="1"/>
  <c r="I104" i="1"/>
  <c r="I118" i="1"/>
  <c r="I127" i="1"/>
  <c r="I135" i="1"/>
  <c r="I145" i="1"/>
  <c r="I153" i="1"/>
  <c r="J153" i="1" s="1"/>
  <c r="I161" i="1"/>
  <c r="J161" i="1" s="1"/>
  <c r="I172" i="1"/>
  <c r="I183" i="1"/>
  <c r="I77" i="1"/>
  <c r="I66" i="1"/>
  <c r="I59" i="1"/>
  <c r="I46" i="1"/>
  <c r="I35" i="1"/>
  <c r="J35" i="1" s="1"/>
  <c r="I19" i="1"/>
  <c r="I89" i="1"/>
  <c r="I100" i="1"/>
  <c r="I115" i="1"/>
  <c r="I123" i="1"/>
  <c r="I132" i="1"/>
  <c r="I141" i="1"/>
  <c r="I154" i="1"/>
  <c r="J154" i="1" s="1"/>
  <c r="I168" i="1"/>
  <c r="I179" i="1"/>
  <c r="I87" i="1"/>
  <c r="I97" i="1"/>
  <c r="I102" i="1"/>
  <c r="I113" i="1"/>
  <c r="I121" i="1"/>
  <c r="I126" i="1"/>
  <c r="I134" i="1"/>
  <c r="I144" i="1"/>
  <c r="I152" i="1"/>
  <c r="J152" i="1" s="1"/>
  <c r="I160" i="1"/>
  <c r="J160" i="1" s="1"/>
  <c r="I171" i="1"/>
  <c r="I182" i="1"/>
  <c r="I187" i="1"/>
  <c r="J187" i="1" s="1"/>
  <c r="I72" i="1"/>
  <c r="I63" i="1"/>
  <c r="I47" i="1"/>
  <c r="I37" i="1"/>
  <c r="J37" i="1" s="1"/>
  <c r="I18" i="1"/>
  <c r="I88" i="1"/>
  <c r="I98" i="1"/>
  <c r="I110" i="1"/>
  <c r="I114" i="1"/>
  <c r="I122" i="1"/>
  <c r="I131" i="1"/>
  <c r="I140" i="1"/>
  <c r="I149" i="1"/>
  <c r="J149" i="1" s="1"/>
  <c r="I157" i="1"/>
  <c r="J157" i="1" s="1"/>
  <c r="I167" i="1"/>
  <c r="I177" i="1"/>
  <c r="I188" i="1"/>
  <c r="I73" i="1"/>
  <c r="I62" i="1"/>
  <c r="I52" i="1"/>
  <c r="I40" i="1"/>
  <c r="J40" i="1" s="1"/>
  <c r="I31" i="1"/>
  <c r="J31" i="1" s="1"/>
  <c r="I24" i="1"/>
  <c r="I85" i="1"/>
  <c r="I94" i="1"/>
  <c r="I107" i="1"/>
  <c r="J107" i="1" s="1"/>
  <c r="I111" i="1"/>
  <c r="I119" i="1"/>
  <c r="I128" i="1"/>
  <c r="I136" i="1"/>
  <c r="I146" i="1"/>
  <c r="I150" i="1"/>
  <c r="J150" i="1" s="1"/>
  <c r="I158" i="1"/>
  <c r="J158" i="1" s="1"/>
  <c r="I164" i="1"/>
  <c r="I174" i="1"/>
  <c r="I184" i="1"/>
  <c r="I83" i="1"/>
  <c r="I78" i="1"/>
  <c r="I71" i="1"/>
  <c r="I53" i="1"/>
  <c r="I30" i="1"/>
  <c r="J30" i="1" s="1"/>
  <c r="I20" i="1"/>
  <c r="J20" i="1" s="1"/>
  <c r="I32" i="1"/>
  <c r="J32" i="1" s="1"/>
  <c r="I67" i="1"/>
  <c r="I43" i="1"/>
  <c r="I23" i="1"/>
  <c r="I61" i="1"/>
  <c r="I39" i="1"/>
  <c r="J39" i="1" s="1"/>
  <c r="I56" i="1"/>
  <c r="D7" i="8"/>
  <c r="C7" i="6"/>
  <c r="C7" i="35"/>
  <c r="B7" i="34"/>
  <c r="C7" i="28"/>
  <c r="C7" i="29"/>
  <c r="C7" i="13"/>
  <c r="C7" i="33"/>
  <c r="C7" i="16"/>
  <c r="C7" i="15"/>
  <c r="C7" i="37"/>
  <c r="C7" i="36"/>
  <c r="B7" i="12"/>
  <c r="B7" i="26"/>
  <c r="A326" i="34" l="1"/>
  <c r="B325" i="34"/>
  <c r="A325" i="34"/>
  <c r="B323" i="34"/>
  <c r="A323" i="34"/>
  <c r="B319" i="34"/>
  <c r="A319" i="34"/>
  <c r="B315" i="34"/>
  <c r="A315" i="34"/>
  <c r="B311" i="34"/>
  <c r="A311" i="34"/>
  <c r="B307" i="34"/>
  <c r="A307" i="34"/>
  <c r="B303" i="34"/>
  <c r="A303" i="34"/>
  <c r="B299" i="34"/>
  <c r="A299" i="34"/>
  <c r="B295" i="34"/>
  <c r="A295" i="34"/>
  <c r="B291" i="34"/>
  <c r="A291" i="34"/>
  <c r="B287" i="34"/>
  <c r="A287" i="34"/>
  <c r="B283" i="34"/>
  <c r="A283" i="34"/>
  <c r="B279" i="34"/>
  <c r="A279" i="34"/>
  <c r="B275" i="34"/>
  <c r="A275" i="34"/>
  <c r="B271" i="34"/>
  <c r="A271" i="34"/>
  <c r="A265" i="34"/>
  <c r="A267" i="34"/>
  <c r="B265" i="34"/>
  <c r="B260" i="34"/>
  <c r="A260" i="34"/>
  <c r="B256" i="34"/>
  <c r="A256" i="34"/>
  <c r="B248" i="34"/>
  <c r="A248" i="34"/>
  <c r="B244" i="34"/>
  <c r="A244" i="34"/>
  <c r="B240" i="34"/>
  <c r="A240" i="34"/>
  <c r="B236" i="34"/>
  <c r="A236" i="34"/>
  <c r="B232" i="34"/>
  <c r="A232" i="34"/>
  <c r="B228" i="34"/>
  <c r="A228" i="34"/>
  <c r="B224" i="34"/>
  <c r="A224" i="34"/>
  <c r="B220" i="34"/>
  <c r="A220" i="34"/>
  <c r="B216" i="34"/>
  <c r="A216" i="34"/>
  <c r="B252" i="34"/>
  <c r="A252" i="34"/>
  <c r="B212" i="34"/>
  <c r="A212" i="34"/>
  <c r="B208" i="34"/>
  <c r="A208" i="34"/>
  <c r="B204" i="34"/>
  <c r="A204" i="34"/>
  <c r="B199" i="34"/>
  <c r="B198" i="34"/>
  <c r="A198" i="34"/>
  <c r="A192" i="34"/>
  <c r="B190" i="34"/>
  <c r="B185" i="34"/>
  <c r="A185" i="34"/>
  <c r="A181" i="34"/>
  <c r="A177" i="34"/>
  <c r="B175" i="34"/>
  <c r="B166" i="34"/>
  <c r="A166" i="34"/>
  <c r="B158" i="34"/>
  <c r="A158" i="34"/>
  <c r="B157" i="34"/>
  <c r="B151" i="34"/>
  <c r="A151" i="34"/>
  <c r="B142" i="34"/>
  <c r="A142" i="34"/>
  <c r="B133" i="34"/>
  <c r="A133" i="34"/>
  <c r="B122" i="34"/>
  <c r="A122" i="34"/>
  <c r="B120" i="34"/>
  <c r="B114" i="34"/>
  <c r="A114" i="34"/>
  <c r="B103" i="34"/>
  <c r="A103" i="34"/>
  <c r="B92" i="34"/>
  <c r="A92" i="34"/>
  <c r="B76" i="34"/>
  <c r="A76" i="34"/>
  <c r="B60" i="34"/>
  <c r="A60" i="34"/>
  <c r="B47" i="34"/>
  <c r="A47" i="34"/>
  <c r="B34" i="34"/>
  <c r="A34" i="34"/>
  <c r="A250" i="35"/>
  <c r="B250" i="35"/>
  <c r="B249" i="35"/>
  <c r="A249" i="35"/>
  <c r="B222" i="35"/>
  <c r="A222" i="35"/>
  <c r="B194" i="35"/>
  <c r="A194" i="35"/>
  <c r="B151" i="35"/>
  <c r="A151" i="35"/>
  <c r="B149" i="35"/>
  <c r="A149" i="35"/>
  <c r="B145" i="35"/>
  <c r="A145" i="35"/>
  <c r="B141" i="35"/>
  <c r="A141" i="35"/>
  <c r="B137" i="35"/>
  <c r="A137" i="35"/>
  <c r="B133" i="35"/>
  <c r="A133" i="35"/>
  <c r="B129" i="35"/>
  <c r="A129" i="35"/>
  <c r="B127" i="35"/>
  <c r="A127" i="35"/>
  <c r="B119" i="35"/>
  <c r="A119" i="35"/>
  <c r="B111" i="35"/>
  <c r="A111" i="35"/>
  <c r="B98" i="35"/>
  <c r="A98" i="35"/>
  <c r="B97" i="35"/>
  <c r="A97" i="35"/>
  <c r="B89" i="35"/>
  <c r="A89" i="35"/>
  <c r="B85" i="35"/>
  <c r="A85" i="35"/>
  <c r="B52" i="35"/>
  <c r="A52" i="35"/>
  <c r="B51" i="35"/>
  <c r="A51" i="35"/>
  <c r="B43" i="35"/>
  <c r="A43" i="35"/>
  <c r="B35" i="35"/>
  <c r="A35" i="35"/>
  <c r="B27" i="35"/>
  <c r="A27" i="35"/>
  <c r="B19" i="35"/>
  <c r="A19" i="35"/>
  <c r="B17" i="35"/>
  <c r="A17" i="35"/>
  <c r="H115" i="35"/>
  <c r="C117" i="35" s="1"/>
  <c r="F66" i="1" s="1"/>
  <c r="P66" i="1" s="1"/>
  <c r="H107" i="35"/>
  <c r="F81" i="35"/>
  <c r="C83" i="35" s="1"/>
  <c r="P68" i="35"/>
  <c r="J123" i="1" l="1"/>
  <c r="C87" i="35"/>
  <c r="F62" i="1" s="1"/>
  <c r="P62" i="1" s="1"/>
  <c r="F61" i="1"/>
  <c r="P61" i="1" s="1"/>
  <c r="B93" i="35"/>
  <c r="A17" i="16"/>
  <c r="B80" i="16"/>
  <c r="A80" i="16"/>
  <c r="H61" i="16"/>
  <c r="H76" i="16" s="1"/>
  <c r="J76" i="16" s="1"/>
  <c r="D61" i="16"/>
  <c r="D54" i="16"/>
  <c r="B54" i="16"/>
  <c r="B49" i="16"/>
  <c r="K61" i="16" l="1"/>
  <c r="C82" i="16"/>
  <c r="F50" i="1" s="1"/>
  <c r="P50" i="1" s="1"/>
  <c r="B15" i="35" l="1"/>
  <c r="A15" i="35"/>
  <c r="G270" i="35"/>
  <c r="D270" i="35"/>
  <c r="G269" i="35"/>
  <c r="D269" i="35"/>
  <c r="K265" i="35"/>
  <c r="H265" i="35"/>
  <c r="K264" i="35"/>
  <c r="K263" i="35"/>
  <c r="G273" i="35" s="1"/>
  <c r="K261" i="35"/>
  <c r="G272" i="35" s="1"/>
  <c r="J257" i="35"/>
  <c r="B270" i="35" s="1"/>
  <c r="G244" i="35"/>
  <c r="G243" i="35"/>
  <c r="G242" i="35"/>
  <c r="K259" i="35" s="1"/>
  <c r="G271" i="35" s="1"/>
  <c r="D241" i="35"/>
  <c r="D240" i="35"/>
  <c r="D237" i="35"/>
  <c r="F265" i="35" s="1"/>
  <c r="B237" i="35"/>
  <c r="H264" i="35"/>
  <c r="D236" i="35"/>
  <c r="F264" i="35" s="1"/>
  <c r="F235" i="35"/>
  <c r="D235" i="35"/>
  <c r="F233" i="35"/>
  <c r="D233" i="35"/>
  <c r="F261" i="35" s="1"/>
  <c r="B233" i="35"/>
  <c r="F231" i="35"/>
  <c r="H259" i="35" s="1"/>
  <c r="J259" i="35" s="1"/>
  <c r="B271" i="35" s="1"/>
  <c r="F271" i="35" s="1"/>
  <c r="D231" i="35"/>
  <c r="B231" i="35"/>
  <c r="F229" i="35"/>
  <c r="D229" i="35"/>
  <c r="B229" i="35"/>
  <c r="F227" i="35"/>
  <c r="D227" i="35"/>
  <c r="B227" i="35"/>
  <c r="G217" i="35"/>
  <c r="G216" i="35"/>
  <c r="D216" i="35"/>
  <c r="G215" i="35"/>
  <c r="D215" i="35"/>
  <c r="G214" i="35"/>
  <c r="D214" i="35"/>
  <c r="G213" i="35"/>
  <c r="D213" i="35"/>
  <c r="H205" i="35"/>
  <c r="B216" i="35" s="1"/>
  <c r="H203" i="35"/>
  <c r="B215" i="35" s="1"/>
  <c r="H201" i="35"/>
  <c r="B214" i="35" s="1"/>
  <c r="H199" i="35"/>
  <c r="B213" i="35" s="1"/>
  <c r="G189" i="35"/>
  <c r="D189" i="35"/>
  <c r="D217" i="35" s="1"/>
  <c r="D244" i="35" s="1"/>
  <c r="D273" i="35" s="1"/>
  <c r="G188" i="35"/>
  <c r="D188" i="35"/>
  <c r="G187" i="35"/>
  <c r="D187" i="35"/>
  <c r="G186" i="35"/>
  <c r="D186" i="35"/>
  <c r="G185" i="35"/>
  <c r="D185" i="35"/>
  <c r="J182" i="35"/>
  <c r="J181" i="35"/>
  <c r="J180" i="35"/>
  <c r="J178" i="35"/>
  <c r="B188" i="35" s="1"/>
  <c r="J176" i="35"/>
  <c r="B187" i="35" s="1"/>
  <c r="J174" i="35"/>
  <c r="B186" i="35" s="1"/>
  <c r="J172" i="35"/>
  <c r="B185" i="35" s="1"/>
  <c r="D123" i="35"/>
  <c r="F103" i="35"/>
  <c r="F102" i="35"/>
  <c r="F47" i="35"/>
  <c r="C47" i="35"/>
  <c r="B47" i="35"/>
  <c r="H39" i="35"/>
  <c r="J39" i="35" s="1"/>
  <c r="C41" i="35" s="1"/>
  <c r="F58" i="1" s="1"/>
  <c r="P58" i="1" s="1"/>
  <c r="F31" i="35"/>
  <c r="D31" i="35"/>
  <c r="C31" i="35"/>
  <c r="B31" i="35"/>
  <c r="J23" i="35"/>
  <c r="C25" i="35" s="1"/>
  <c r="F56" i="1" s="1"/>
  <c r="P56" i="1" s="1"/>
  <c r="F263" i="35" l="1"/>
  <c r="H235" i="35"/>
  <c r="F213" i="35"/>
  <c r="F215" i="35"/>
  <c r="H237" i="35"/>
  <c r="B189" i="35"/>
  <c r="F189" i="35" s="1"/>
  <c r="H227" i="35"/>
  <c r="B240" i="35" s="1"/>
  <c r="F240" i="35" s="1"/>
  <c r="F216" i="35"/>
  <c r="J265" i="35"/>
  <c r="F187" i="35"/>
  <c r="F214" i="35"/>
  <c r="J264" i="35"/>
  <c r="F186" i="35"/>
  <c r="F188" i="35"/>
  <c r="H31" i="35"/>
  <c r="C33" i="35" s="1"/>
  <c r="F57" i="1" s="1"/>
  <c r="P57" i="1" s="1"/>
  <c r="F185" i="35"/>
  <c r="H233" i="35"/>
  <c r="B243" i="35" s="1"/>
  <c r="F243" i="35" s="1"/>
  <c r="F270" i="35"/>
  <c r="F104" i="35"/>
  <c r="H263" i="35"/>
  <c r="H229" i="35"/>
  <c r="B241" i="35" s="1"/>
  <c r="F241" i="35" s="1"/>
  <c r="F217" i="35"/>
  <c r="H47" i="35"/>
  <c r="J47" i="35" s="1"/>
  <c r="C49" i="35" s="1"/>
  <c r="F59" i="1" s="1"/>
  <c r="P59" i="1" s="1"/>
  <c r="H255" i="35"/>
  <c r="J255" i="35" s="1"/>
  <c r="B269" i="35" s="1"/>
  <c r="F269" i="35" s="1"/>
  <c r="H261" i="35"/>
  <c r="J261" i="35" s="1"/>
  <c r="B272" i="35" s="1"/>
  <c r="F272" i="35" s="1"/>
  <c r="H231" i="35"/>
  <c r="B242" i="35" s="1"/>
  <c r="F242" i="35" s="1"/>
  <c r="H236" i="35"/>
  <c r="J263" i="35" l="1"/>
  <c r="B273" i="35" s="1"/>
  <c r="F273" i="35" s="1"/>
  <c r="F274" i="35" s="1"/>
  <c r="C276" i="35" s="1"/>
  <c r="B244" i="35"/>
  <c r="F244" i="35" s="1"/>
  <c r="F245" i="35" s="1"/>
  <c r="C247" i="35" s="1"/>
  <c r="F77" i="1" s="1"/>
  <c r="P77" i="1" s="1"/>
  <c r="C109" i="35"/>
  <c r="F65" i="1" s="1"/>
  <c r="P65" i="1" s="1"/>
  <c r="F190" i="35"/>
  <c r="C192" i="35" s="1"/>
  <c r="F75" i="1" s="1"/>
  <c r="P75" i="1" s="1"/>
  <c r="F218" i="35"/>
  <c r="C220" i="35" s="1"/>
  <c r="F76" i="1" s="1"/>
  <c r="P76" i="1" s="1"/>
  <c r="F93" i="35"/>
  <c r="C95" i="35" s="1"/>
  <c r="F63" i="1" s="1"/>
  <c r="P63" i="1" s="1"/>
  <c r="F79" i="1" l="1"/>
  <c r="F78" i="1"/>
  <c r="P78" i="1" s="1"/>
  <c r="B123" i="35"/>
  <c r="H123" i="35" s="1"/>
  <c r="C125" i="35" s="1"/>
  <c r="F67" i="1" s="1"/>
  <c r="P67" i="1" s="1"/>
  <c r="J76" i="1"/>
  <c r="J75" i="1"/>
  <c r="J77" i="1"/>
  <c r="J73" i="1"/>
  <c r="J72" i="1"/>
  <c r="J71" i="1"/>
  <c r="J70" i="1"/>
  <c r="J69" i="1"/>
  <c r="J66" i="1"/>
  <c r="J65" i="1"/>
  <c r="J63" i="1"/>
  <c r="J62" i="1"/>
  <c r="J61" i="1"/>
  <c r="B267" i="34"/>
  <c r="J79" i="1" l="1"/>
  <c r="P79" i="1"/>
  <c r="J78" i="1"/>
  <c r="J67" i="1"/>
  <c r="B181" i="34" l="1"/>
  <c r="B177" i="34"/>
  <c r="F136" i="1"/>
  <c r="P136" i="1" s="1"/>
  <c r="F135" i="1"/>
  <c r="P135" i="1" s="1"/>
  <c r="F134" i="1"/>
  <c r="P134" i="1" s="1"/>
  <c r="F133" i="1"/>
  <c r="P133" i="1" s="1"/>
  <c r="F132" i="1"/>
  <c r="P132" i="1" s="1"/>
  <c r="F131" i="1"/>
  <c r="P131" i="1" s="1"/>
  <c r="F130" i="1"/>
  <c r="P130" i="1" s="1"/>
  <c r="F129" i="1"/>
  <c r="P129" i="1" s="1"/>
  <c r="F128" i="1"/>
  <c r="P128" i="1" s="1"/>
  <c r="F127" i="1"/>
  <c r="P127" i="1" s="1"/>
  <c r="F126" i="1"/>
  <c r="P126" i="1" s="1"/>
  <c r="F125" i="1"/>
  <c r="P125" i="1" s="1"/>
  <c r="F121" i="1"/>
  <c r="P121" i="1" s="1"/>
  <c r="F119" i="1"/>
  <c r="P119" i="1" s="1"/>
  <c r="F118" i="1"/>
  <c r="P118" i="1" s="1"/>
  <c r="F114" i="1"/>
  <c r="P114" i="1" s="1"/>
  <c r="F115" i="1"/>
  <c r="P115" i="1" s="1"/>
  <c r="F116" i="1"/>
  <c r="P116" i="1" s="1"/>
  <c r="F117" i="1"/>
  <c r="P117" i="1" s="1"/>
  <c r="F113" i="1"/>
  <c r="P113" i="1" s="1"/>
  <c r="F112" i="1"/>
  <c r="P112" i="1" s="1"/>
  <c r="F111" i="1"/>
  <c r="P111" i="1" s="1"/>
  <c r="F120" i="1"/>
  <c r="P120" i="1" s="1"/>
  <c r="F110" i="1"/>
  <c r="P110" i="1" s="1"/>
  <c r="F109" i="1"/>
  <c r="P109" i="1" s="1"/>
  <c r="E194" i="34"/>
  <c r="C196" i="34" s="1"/>
  <c r="F104" i="1" s="1"/>
  <c r="P104" i="1" s="1"/>
  <c r="F102" i="1"/>
  <c r="P102" i="1" s="1"/>
  <c r="F101" i="1"/>
  <c r="P101" i="1" s="1"/>
  <c r="F100" i="1"/>
  <c r="P100" i="1" s="1"/>
  <c r="B21" i="34"/>
  <c r="A21" i="34"/>
  <c r="B19" i="34"/>
  <c r="B17" i="34"/>
  <c r="A17" i="34"/>
  <c r="B15" i="34"/>
  <c r="A15" i="34"/>
  <c r="B15" i="16"/>
  <c r="A15" i="16"/>
  <c r="F108" i="1"/>
  <c r="P108" i="1" s="1"/>
  <c r="H170" i="34"/>
  <c r="C172" i="34" s="1"/>
  <c r="F98" i="1" s="1"/>
  <c r="P98" i="1" s="1"/>
  <c r="B162" i="34"/>
  <c r="F162" i="34" s="1"/>
  <c r="C164" i="34" s="1"/>
  <c r="F97" i="1" s="1"/>
  <c r="P97" i="1" s="1"/>
  <c r="F147" i="34"/>
  <c r="C149" i="34" s="1"/>
  <c r="F94" i="1" s="1"/>
  <c r="P94" i="1" s="1"/>
  <c r="D138" i="34"/>
  <c r="B138" i="34"/>
  <c r="D137" i="34"/>
  <c r="B137" i="34"/>
  <c r="C129" i="34"/>
  <c r="G129" i="34" s="1"/>
  <c r="C128" i="34"/>
  <c r="G128" i="34" s="1"/>
  <c r="I126" i="34"/>
  <c r="G126" i="34"/>
  <c r="I125" i="34"/>
  <c r="G125" i="34"/>
  <c r="F110" i="34"/>
  <c r="C112" i="34" s="1"/>
  <c r="F89" i="1" s="1"/>
  <c r="P89" i="1" s="1"/>
  <c r="F99" i="34"/>
  <c r="C101" i="34" s="1"/>
  <c r="F88" i="1" s="1"/>
  <c r="P88" i="1" s="1"/>
  <c r="C88" i="34"/>
  <c r="G88" i="34" s="1"/>
  <c r="C86" i="34"/>
  <c r="C87" i="34" s="1"/>
  <c r="G87" i="34" s="1"/>
  <c r="C85" i="34"/>
  <c r="G85" i="34" s="1"/>
  <c r="G82" i="34"/>
  <c r="G81" i="34"/>
  <c r="G80" i="34"/>
  <c r="C72" i="34"/>
  <c r="C71" i="34"/>
  <c r="C81" i="34" s="1"/>
  <c r="C70" i="34"/>
  <c r="G70" i="34" s="1"/>
  <c r="E69" i="34"/>
  <c r="G79" i="34" s="1"/>
  <c r="C69" i="34"/>
  <c r="C79" i="34" s="1"/>
  <c r="G67" i="34"/>
  <c r="G66" i="34"/>
  <c r="G65" i="34"/>
  <c r="G64" i="34"/>
  <c r="E30" i="34"/>
  <c r="E43" i="34" s="1"/>
  <c r="C30" i="34"/>
  <c r="C43" i="34" s="1"/>
  <c r="C56" i="34" s="1"/>
  <c r="E28" i="34"/>
  <c r="E41" i="34" s="1"/>
  <c r="E54" i="34" s="1"/>
  <c r="C28" i="34"/>
  <c r="C41" i="34" s="1"/>
  <c r="C54" i="34" s="1"/>
  <c r="E27" i="34"/>
  <c r="E40" i="34" s="1"/>
  <c r="C27" i="34"/>
  <c r="E25" i="34"/>
  <c r="E38" i="34" s="1"/>
  <c r="E51" i="34" s="1"/>
  <c r="C25" i="34"/>
  <c r="C38" i="34" s="1"/>
  <c r="C51" i="34" s="1"/>
  <c r="L126" i="34" l="1"/>
  <c r="G69" i="34"/>
  <c r="H138" i="34"/>
  <c r="C140" i="34" s="1"/>
  <c r="C155" i="34" s="1"/>
  <c r="F95" i="1" s="1"/>
  <c r="P95" i="1" s="1"/>
  <c r="G51" i="34"/>
  <c r="I79" i="34"/>
  <c r="I81" i="34"/>
  <c r="C80" i="34"/>
  <c r="I80" i="34" s="1"/>
  <c r="L125" i="34"/>
  <c r="G43" i="34"/>
  <c r="G41" i="34"/>
  <c r="I25" i="34"/>
  <c r="I30" i="34"/>
  <c r="G71" i="34"/>
  <c r="E53" i="34"/>
  <c r="G38" i="34"/>
  <c r="E56" i="34"/>
  <c r="G56" i="34" s="1"/>
  <c r="G54" i="34"/>
  <c r="C82" i="34"/>
  <c r="I82" i="34" s="1"/>
  <c r="G72" i="34"/>
  <c r="G86" i="34"/>
  <c r="C40" i="34"/>
  <c r="C53" i="34" s="1"/>
  <c r="I27" i="34"/>
  <c r="I28" i="34"/>
  <c r="C131" i="34" l="1"/>
  <c r="F92" i="1" s="1"/>
  <c r="P92" i="1" s="1"/>
  <c r="F93" i="1"/>
  <c r="P93" i="1" s="1"/>
  <c r="C90" i="34"/>
  <c r="C118" i="34" s="1"/>
  <c r="F90" i="1" s="1"/>
  <c r="P90" i="1" s="1"/>
  <c r="C32" i="34"/>
  <c r="F83" i="1" s="1"/>
  <c r="P83" i="1" s="1"/>
  <c r="C74" i="34"/>
  <c r="F86" i="1" s="1"/>
  <c r="P86" i="1" s="1"/>
  <c r="G53" i="34"/>
  <c r="C58" i="34" s="1"/>
  <c r="F85" i="1" s="1"/>
  <c r="P85" i="1" s="1"/>
  <c r="G40" i="34"/>
  <c r="C45" i="34" s="1"/>
  <c r="F84" i="1" s="1"/>
  <c r="P84" i="1" s="1"/>
  <c r="F87" i="1" l="1"/>
  <c r="P87" i="1" s="1"/>
  <c r="B192" i="34"/>
  <c r="J138" i="1"/>
  <c r="J137" i="1"/>
  <c r="J136" i="1"/>
  <c r="J135" i="1"/>
  <c r="J134" i="1"/>
  <c r="J133" i="1"/>
  <c r="J132" i="1"/>
  <c r="J131" i="1"/>
  <c r="J130" i="1"/>
  <c r="J115" i="1"/>
  <c r="J114" i="1"/>
  <c r="J113" i="1"/>
  <c r="J112" i="1"/>
  <c r="J111" i="1"/>
  <c r="J120" i="1"/>
  <c r="J110" i="1"/>
  <c r="J109" i="1"/>
  <c r="J108" i="1"/>
  <c r="J119" i="1"/>
  <c r="J118" i="1"/>
  <c r="J117" i="1"/>
  <c r="J116" i="1"/>
  <c r="J129" i="1"/>
  <c r="J128" i="1"/>
  <c r="J127" i="1"/>
  <c r="J126" i="1"/>
  <c r="J125" i="1"/>
  <c r="J122" i="1"/>
  <c r="J121" i="1"/>
  <c r="J101" i="1"/>
  <c r="J89" i="1"/>
  <c r="J100" i="1" l="1"/>
  <c r="J97" i="1"/>
  <c r="J98" i="1"/>
  <c r="J102" i="1"/>
  <c r="F27" i="1" l="1"/>
  <c r="P27" i="1" s="1"/>
  <c r="F53" i="1"/>
  <c r="P53" i="1" s="1"/>
  <c r="F52" i="1"/>
  <c r="P52" i="1" s="1"/>
  <c r="B17" i="15" l="1"/>
  <c r="B186" i="33"/>
  <c r="F186" i="33" s="1"/>
  <c r="F185" i="1"/>
  <c r="P185" i="1" s="1"/>
  <c r="F184" i="1"/>
  <c r="P184" i="1" s="1"/>
  <c r="F183" i="1"/>
  <c r="P183" i="1" s="1"/>
  <c r="F172" i="1"/>
  <c r="P172" i="1" s="1"/>
  <c r="B426" i="33"/>
  <c r="A426" i="33"/>
  <c r="B418" i="33"/>
  <c r="A418" i="33"/>
  <c r="B410" i="33"/>
  <c r="A410" i="33"/>
  <c r="B402" i="33"/>
  <c r="A402" i="33"/>
  <c r="B401" i="33"/>
  <c r="A401" i="33"/>
  <c r="B385" i="33"/>
  <c r="A385" i="33"/>
  <c r="B383" i="33"/>
  <c r="A383" i="33"/>
  <c r="B327" i="33"/>
  <c r="A327" i="33"/>
  <c r="B271" i="33"/>
  <c r="A271" i="33"/>
  <c r="B215" i="33"/>
  <c r="A215" i="33"/>
  <c r="B203" i="33"/>
  <c r="A203" i="33"/>
  <c r="B202" i="33"/>
  <c r="A202" i="33"/>
  <c r="A194" i="33"/>
  <c r="B194" i="33"/>
  <c r="B182" i="33"/>
  <c r="A182" i="33"/>
  <c r="B181" i="33"/>
  <c r="A181" i="33"/>
  <c r="B170" i="33"/>
  <c r="A170" i="33"/>
  <c r="B135" i="33"/>
  <c r="A135" i="33"/>
  <c r="B102" i="33"/>
  <c r="A102" i="33"/>
  <c r="B42" i="33"/>
  <c r="A42" i="33"/>
  <c r="B31" i="33"/>
  <c r="A31" i="33"/>
  <c r="B19" i="33"/>
  <c r="A19" i="33"/>
  <c r="B17" i="33"/>
  <c r="A17" i="33"/>
  <c r="B15" i="33"/>
  <c r="A15" i="33"/>
  <c r="F182" i="1"/>
  <c r="P182" i="1" s="1"/>
  <c r="J389" i="33"/>
  <c r="I366" i="33"/>
  <c r="I363" i="33"/>
  <c r="G355" i="33"/>
  <c r="C359" i="33" s="1"/>
  <c r="I344" i="33"/>
  <c r="G348" i="33" s="1"/>
  <c r="M339" i="33"/>
  <c r="E348" i="33" s="1"/>
  <c r="I310" i="33"/>
  <c r="I307" i="33"/>
  <c r="G299" i="33"/>
  <c r="C303" i="33" s="1"/>
  <c r="I288" i="33"/>
  <c r="G292" i="33" s="1"/>
  <c r="M283" i="33"/>
  <c r="E292" i="33" s="1"/>
  <c r="G276" i="33"/>
  <c r="G332" i="33" s="1"/>
  <c r="F276" i="33"/>
  <c r="F332" i="33" s="1"/>
  <c r="E276" i="33"/>
  <c r="E332" i="33" s="1"/>
  <c r="D276" i="33"/>
  <c r="D332" i="33" s="1"/>
  <c r="C276" i="33"/>
  <c r="I254" i="33"/>
  <c r="I251" i="33"/>
  <c r="G243" i="33"/>
  <c r="C247" i="33" s="1"/>
  <c r="I232" i="33"/>
  <c r="G236" i="33" s="1"/>
  <c r="M227" i="33"/>
  <c r="E236" i="33" s="1"/>
  <c r="I220" i="33"/>
  <c r="C236" i="33" s="1"/>
  <c r="E207" i="33"/>
  <c r="E150" i="33"/>
  <c r="K147" i="33"/>
  <c r="C150" i="33" s="1"/>
  <c r="I140" i="33"/>
  <c r="C154" i="33" s="1"/>
  <c r="G123" i="33"/>
  <c r="G122" i="33"/>
  <c r="G121" i="33"/>
  <c r="G120" i="33"/>
  <c r="G119" i="33"/>
  <c r="G118" i="33"/>
  <c r="G117" i="33"/>
  <c r="G116" i="33"/>
  <c r="G115" i="33"/>
  <c r="G114" i="33"/>
  <c r="G113" i="33"/>
  <c r="G112" i="33"/>
  <c r="G111" i="33"/>
  <c r="G110" i="33"/>
  <c r="G109" i="33"/>
  <c r="G108" i="33"/>
  <c r="G107" i="33"/>
  <c r="G106" i="33"/>
  <c r="G105" i="33"/>
  <c r="E94" i="33"/>
  <c r="E127" i="33" s="1"/>
  <c r="E162" i="33" s="1"/>
  <c r="G207" i="33" s="1"/>
  <c r="E239" i="33" s="1"/>
  <c r="E247" i="33" s="1"/>
  <c r="E295" i="33" s="1"/>
  <c r="E303" i="33" s="1"/>
  <c r="E351" i="33" s="1"/>
  <c r="E359" i="33" s="1"/>
  <c r="I86" i="33"/>
  <c r="K90" i="33" s="1"/>
  <c r="I82" i="33"/>
  <c r="I90" i="33" s="1"/>
  <c r="E77" i="33"/>
  <c r="K74" i="33"/>
  <c r="C77" i="33" s="1"/>
  <c r="I67" i="33"/>
  <c r="I62" i="33"/>
  <c r="C90" i="33" s="1"/>
  <c r="D34" i="33"/>
  <c r="C34" i="33"/>
  <c r="B34" i="33"/>
  <c r="J23" i="33"/>
  <c r="I276" i="33" l="1"/>
  <c r="C292" i="33" s="1"/>
  <c r="I292" i="33" s="1"/>
  <c r="C295" i="33" s="1"/>
  <c r="G295" i="33" s="1"/>
  <c r="C319" i="33" s="1"/>
  <c r="H389" i="33"/>
  <c r="E314" i="33"/>
  <c r="C332" i="33"/>
  <c r="I332" i="33" s="1"/>
  <c r="C348" i="33" s="1"/>
  <c r="I348" i="33" s="1"/>
  <c r="C351" i="33" s="1"/>
  <c r="G351" i="33" s="1"/>
  <c r="C375" i="33" s="1"/>
  <c r="E154" i="33"/>
  <c r="G154" i="33" s="1"/>
  <c r="C158" i="33" s="1"/>
  <c r="G158" i="33" s="1"/>
  <c r="C162" i="33" s="1"/>
  <c r="G162" i="33" s="1"/>
  <c r="B166" i="33" s="1"/>
  <c r="F166" i="33" s="1"/>
  <c r="C168" i="33" s="1"/>
  <c r="E370" i="33"/>
  <c r="G150" i="33"/>
  <c r="E258" i="33"/>
  <c r="B190" i="33"/>
  <c r="F190" i="33" s="1"/>
  <c r="C192" i="33" s="1"/>
  <c r="F171" i="1" s="1"/>
  <c r="P171" i="1" s="1"/>
  <c r="L389" i="33"/>
  <c r="B393" i="33" s="1"/>
  <c r="F393" i="33" s="1"/>
  <c r="C395" i="33" s="1"/>
  <c r="F179" i="1" s="1"/>
  <c r="P179" i="1" s="1"/>
  <c r="H34" i="33"/>
  <c r="B38" i="33" s="1"/>
  <c r="F38" i="33" s="1"/>
  <c r="C40" i="33" s="1"/>
  <c r="F165" i="1" s="1"/>
  <c r="P165" i="1" s="1"/>
  <c r="I236" i="33"/>
  <c r="C239" i="33" s="1"/>
  <c r="G239" i="33" s="1"/>
  <c r="C263" i="33" s="1"/>
  <c r="B27" i="33"/>
  <c r="F27" i="33" s="1"/>
  <c r="C29" i="33" s="1"/>
  <c r="F164" i="1" s="1"/>
  <c r="P164" i="1" s="1"/>
  <c r="G124" i="33"/>
  <c r="C127" i="33" s="1"/>
  <c r="I127" i="33" s="1"/>
  <c r="G359" i="33"/>
  <c r="C370" i="33" s="1"/>
  <c r="G247" i="33"/>
  <c r="C258" i="33" s="1"/>
  <c r="G258" i="33" s="1"/>
  <c r="F263" i="33" s="1"/>
  <c r="G303" i="33"/>
  <c r="C314" i="33" s="1"/>
  <c r="I207" i="33"/>
  <c r="G77" i="33"/>
  <c r="G90" i="33" s="1"/>
  <c r="M90" i="33" s="1"/>
  <c r="C94" i="33" s="1"/>
  <c r="G94" i="33" s="1"/>
  <c r="B98" i="33" s="1"/>
  <c r="F98" i="33" s="1"/>
  <c r="C100" i="33" s="1"/>
  <c r="F166" i="1" s="1"/>
  <c r="P166" i="1" s="1"/>
  <c r="G370" i="33" l="1"/>
  <c r="F375" i="33" s="1"/>
  <c r="J375" i="33" s="1"/>
  <c r="G314" i="33"/>
  <c r="F319" i="33" s="1"/>
  <c r="J319" i="33" s="1"/>
  <c r="B323" i="33" s="1"/>
  <c r="F323" i="33" s="1"/>
  <c r="C325" i="33" s="1"/>
  <c r="F176" i="1" s="1"/>
  <c r="P176" i="1" s="1"/>
  <c r="F180" i="1"/>
  <c r="J263" i="33"/>
  <c r="B211" i="33"/>
  <c r="F211" i="33" s="1"/>
  <c r="C213" i="33" s="1"/>
  <c r="F174" i="1" s="1"/>
  <c r="P174" i="1" s="1"/>
  <c r="B173" i="33"/>
  <c r="B131" i="33"/>
  <c r="F131" i="33" s="1"/>
  <c r="C133" i="33" s="1"/>
  <c r="F167" i="1" s="1"/>
  <c r="P167" i="1" s="1"/>
  <c r="D173" i="33"/>
  <c r="F168" i="1"/>
  <c r="P168" i="1" s="1"/>
  <c r="J180" i="1" l="1"/>
  <c r="P180" i="1"/>
  <c r="B379" i="33"/>
  <c r="F379" i="33" s="1"/>
  <c r="C381" i="33" s="1"/>
  <c r="F177" i="1" s="1"/>
  <c r="P177" i="1" s="1"/>
  <c r="F173" i="33"/>
  <c r="B267" i="33"/>
  <c r="F267" i="33" s="1"/>
  <c r="C269" i="33" s="1"/>
  <c r="F175" i="1" s="1"/>
  <c r="P175" i="1" s="1"/>
  <c r="J168" i="1"/>
  <c r="B177" i="33" l="1"/>
  <c r="F177" i="33" s="1"/>
  <c r="C179" i="33" s="1"/>
  <c r="F169" i="1" s="1"/>
  <c r="A37" i="15"/>
  <c r="J169" i="1" l="1"/>
  <c r="P169" i="1"/>
  <c r="F28" i="1"/>
  <c r="P28" i="1" s="1"/>
  <c r="D116" i="34" l="1"/>
  <c r="D153" i="34" l="1"/>
  <c r="J24" i="1" l="1"/>
  <c r="J23" i="1"/>
  <c r="N18" i="13"/>
  <c r="H24" i="13"/>
  <c r="E17" i="12" s="1"/>
  <c r="H17" i="12" s="1"/>
  <c r="H21" i="13"/>
  <c r="E16" i="12" s="1"/>
  <c r="H16" i="12" s="1"/>
  <c r="A17" i="13"/>
  <c r="B17" i="13"/>
  <c r="B15" i="13"/>
  <c r="A15" i="13"/>
  <c r="H18" i="12" l="1"/>
  <c r="H15" i="1" s="1"/>
  <c r="J22" i="1"/>
  <c r="J21" i="1" s="1"/>
  <c r="P15" i="1" l="1"/>
  <c r="I15" i="1"/>
  <c r="J15" i="1" s="1"/>
  <c r="D19" i="6"/>
  <c r="E20" i="6" s="1"/>
  <c r="B172" i="33"/>
  <c r="D172" i="33"/>
  <c r="J14" i="1" l="1"/>
  <c r="D13" i="6" s="1"/>
  <c r="N19" i="13" l="1"/>
  <c r="N20" i="13" s="1"/>
  <c r="J14" i="6"/>
  <c r="F14" i="6"/>
  <c r="G14" i="6"/>
  <c r="H14" i="6"/>
  <c r="I14" i="6"/>
  <c r="E14" i="6"/>
  <c r="F188" i="1"/>
  <c r="B20" i="29"/>
  <c r="A20" i="29"/>
  <c r="B15" i="29"/>
  <c r="A15" i="29"/>
  <c r="B114" i="28"/>
  <c r="A114" i="28"/>
  <c r="B29" i="28"/>
  <c r="A29" i="28"/>
  <c r="B21" i="28"/>
  <c r="A21" i="28"/>
  <c r="B16" i="28"/>
  <c r="A16" i="28"/>
  <c r="B15" i="28"/>
  <c r="A15" i="28"/>
  <c r="J188" i="1" l="1"/>
  <c r="J186" i="1" s="1"/>
  <c r="P188" i="1"/>
  <c r="F47" i="26"/>
  <c r="E47" i="26"/>
  <c r="D47" i="26"/>
  <c r="C47" i="26"/>
  <c r="F43" i="26"/>
  <c r="E43" i="26"/>
  <c r="D43" i="26"/>
  <c r="C43" i="26"/>
  <c r="F36" i="26"/>
  <c r="E36" i="26"/>
  <c r="D36" i="26"/>
  <c r="C36" i="26"/>
  <c r="F24" i="26"/>
  <c r="E24" i="26"/>
  <c r="D24" i="26"/>
  <c r="C24" i="26"/>
  <c r="E48" i="26" l="1"/>
  <c r="D48" i="26"/>
  <c r="C48" i="26"/>
  <c r="F48" i="26"/>
  <c r="A17" i="15"/>
  <c r="A16" i="15"/>
  <c r="A15" i="15"/>
  <c r="J140" i="1" l="1"/>
  <c r="B17" i="16" l="1"/>
  <c r="D25" i="1" l="1"/>
  <c r="B21" i="6" l="1"/>
  <c r="A13" i="15"/>
  <c r="J164" i="1"/>
  <c r="J167" i="1"/>
  <c r="J184" i="1"/>
  <c r="J174" i="1"/>
  <c r="J177" i="1"/>
  <c r="J179" i="1"/>
  <c r="J176" i="1"/>
  <c r="J166" i="1"/>
  <c r="J185" i="1" l="1"/>
  <c r="J182" i="1"/>
  <c r="J183" i="1"/>
  <c r="J175" i="1"/>
  <c r="J172" i="1" l="1"/>
  <c r="J171" i="1"/>
  <c r="J165" i="1" l="1"/>
  <c r="J162" i="1" s="1"/>
  <c r="D37" i="6" l="1"/>
  <c r="F43" i="1"/>
  <c r="J43" i="1" l="1"/>
  <c r="P43" i="1"/>
  <c r="J38" i="6"/>
  <c r="I38" i="6"/>
  <c r="H38" i="6"/>
  <c r="B90" i="16"/>
  <c r="A90" i="16"/>
  <c r="B86" i="16"/>
  <c r="A86" i="16"/>
  <c r="B84" i="16"/>
  <c r="A84" i="16"/>
  <c r="C78" i="16"/>
  <c r="B73" i="16"/>
  <c r="A73" i="16"/>
  <c r="D63" i="16"/>
  <c r="B58" i="16"/>
  <c r="A58" i="16"/>
  <c r="J54" i="16"/>
  <c r="C56" i="16" s="1"/>
  <c r="A50" i="16"/>
  <c r="A49" i="16"/>
  <c r="B32" i="16"/>
  <c r="A32" i="16"/>
  <c r="J42" i="1"/>
  <c r="B37" i="15"/>
  <c r="B16" i="15"/>
  <c r="J146" i="1"/>
  <c r="J145" i="1"/>
  <c r="J144" i="1"/>
  <c r="B326" i="34"/>
  <c r="J104" i="1" l="1"/>
  <c r="J84" i="1"/>
  <c r="J19" i="1"/>
  <c r="F46" i="1"/>
  <c r="J83" i="1"/>
  <c r="F47" i="1"/>
  <c r="F49" i="1"/>
  <c r="J94" i="1"/>
  <c r="J95" i="1"/>
  <c r="J58" i="1"/>
  <c r="J18" i="1"/>
  <c r="J86" i="1"/>
  <c r="J28" i="1"/>
  <c r="J27" i="1"/>
  <c r="J25" i="1" l="1"/>
  <c r="J47" i="1"/>
  <c r="P47" i="1"/>
  <c r="J49" i="1"/>
  <c r="P49" i="1"/>
  <c r="J46" i="1"/>
  <c r="M46" i="1" s="1"/>
  <c r="P46" i="1"/>
  <c r="J85" i="1"/>
  <c r="J50" i="1"/>
  <c r="J87" i="1"/>
  <c r="J143" i="1"/>
  <c r="J142" i="1" s="1"/>
  <c r="J141" i="1"/>
  <c r="J88" i="1"/>
  <c r="J56" i="1"/>
  <c r="J52" i="1"/>
  <c r="J53" i="1"/>
  <c r="J90" i="1"/>
  <c r="J57" i="1"/>
  <c r="J93" i="1"/>
  <c r="P189" i="1" l="1"/>
  <c r="P190" i="1" s="1"/>
  <c r="J41" i="1"/>
  <c r="D22" i="6"/>
  <c r="I23" i="6" s="1"/>
  <c r="J92" i="1"/>
  <c r="J80" i="1" s="1"/>
  <c r="J59" i="1"/>
  <c r="J54" i="1" s="1"/>
  <c r="F23" i="6" l="1"/>
  <c r="F43" i="6" s="1"/>
  <c r="H23" i="6"/>
  <c r="G23" i="6"/>
  <c r="D25" i="6"/>
  <c r="D31" i="6" l="1"/>
  <c r="D28" i="6"/>
  <c r="I26" i="6"/>
  <c r="H26" i="6"/>
  <c r="G26" i="6"/>
  <c r="J26" i="6"/>
  <c r="J32" i="6" l="1"/>
  <c r="I32" i="6"/>
  <c r="H29" i="6"/>
  <c r="G29" i="6"/>
  <c r="G43" i="6" s="1"/>
  <c r="I29" i="6"/>
  <c r="J29" i="6"/>
  <c r="J17" i="1" l="1"/>
  <c r="J16" i="1" s="1"/>
  <c r="J189" i="1" s="1"/>
  <c r="D16" i="6" l="1"/>
  <c r="E17" i="6" l="1"/>
  <c r="E43" i="6" s="1"/>
  <c r="E45" i="6" l="1"/>
  <c r="F45" i="6" s="1"/>
  <c r="G45" i="6" s="1"/>
  <c r="D34" i="6"/>
  <c r="I35" i="6" s="1"/>
  <c r="I43" i="6" s="1"/>
  <c r="H35" i="6" l="1"/>
  <c r="H43" i="6" s="1"/>
  <c r="H45" i="6" s="1"/>
  <c r="I45" i="6" s="1"/>
  <c r="B9" i="1"/>
  <c r="C9" i="35" s="1"/>
  <c r="D40" i="6"/>
  <c r="D42" i="6" s="1"/>
  <c r="I44" i="6" s="1"/>
  <c r="K162" i="1"/>
  <c r="K41" i="1"/>
  <c r="K186" i="1"/>
  <c r="K142" i="1"/>
  <c r="J41" i="6" l="1"/>
  <c r="H44" i="6"/>
  <c r="E44" i="6"/>
  <c r="E46" i="6" s="1"/>
  <c r="G44" i="6"/>
  <c r="C9" i="28"/>
  <c r="C9" i="33"/>
  <c r="C9" i="37"/>
  <c r="M189" i="1"/>
  <c r="K21" i="1"/>
  <c r="E49" i="6"/>
  <c r="C9" i="6"/>
  <c r="C9" i="36"/>
  <c r="B9" i="26"/>
  <c r="D9" i="8"/>
  <c r="K14" i="1"/>
  <c r="K16" i="1"/>
  <c r="K25" i="1"/>
  <c r="J194" i="1"/>
  <c r="F44" i="6"/>
  <c r="F46" i="6" s="1"/>
  <c r="C9" i="13"/>
  <c r="C9" i="16"/>
  <c r="C9" i="29"/>
  <c r="K54" i="1"/>
  <c r="K80" i="1"/>
  <c r="B9" i="34"/>
  <c r="C9" i="15"/>
  <c r="B9" i="12"/>
  <c r="J43" i="6" l="1"/>
  <c r="J44" i="6" s="1"/>
  <c r="G46" i="6"/>
  <c r="H46" i="6" s="1"/>
  <c r="I46" i="6" s="1"/>
  <c r="K189" i="1"/>
  <c r="J46" i="6" l="1"/>
  <c r="J45" i="6"/>
</calcChain>
</file>

<file path=xl/sharedStrings.xml><?xml version="1.0" encoding="utf-8"?>
<sst xmlns="http://schemas.openxmlformats.org/spreadsheetml/2006/main" count="3794" uniqueCount="1159">
  <si>
    <t>ITEM</t>
  </si>
  <si>
    <t>DESCRIÇÃO DOS SERVIÇOS</t>
  </si>
  <si>
    <t>QUANT.</t>
  </si>
  <si>
    <t>1.1</t>
  </si>
  <si>
    <t>m²</t>
  </si>
  <si>
    <t>m³</t>
  </si>
  <si>
    <t>SERVIÇOS FINAIS</t>
  </si>
  <si>
    <t>CÓDIGO</t>
  </si>
  <si>
    <t xml:space="preserve">PR. UNIT.(R$) </t>
  </si>
  <si>
    <t xml:space="preserve">PR. UNIT. C/ BDI(R$) </t>
  </si>
  <si>
    <t xml:space="preserve">VALOR TOTAL (R$) </t>
  </si>
  <si>
    <t>und</t>
  </si>
  <si>
    <t>SINAPI</t>
  </si>
  <si>
    <t>m</t>
  </si>
  <si>
    <t>6.2</t>
  </si>
  <si>
    <t>ÍTEM</t>
  </si>
  <si>
    <t>DESCRIÇÃO</t>
  </si>
  <si>
    <t>TOTAL</t>
  </si>
  <si>
    <t>1º MÊS</t>
  </si>
  <si>
    <t>2º MÊS</t>
  </si>
  <si>
    <t>3º MÊS</t>
  </si>
  <si>
    <t>4º MÊS</t>
  </si>
  <si>
    <t>x</t>
  </si>
  <si>
    <t>=</t>
  </si>
  <si>
    <t>6.1</t>
  </si>
  <si>
    <t>6.3</t>
  </si>
  <si>
    <t>PIS</t>
  </si>
  <si>
    <t>COFINS</t>
  </si>
  <si>
    <t>ISS</t>
  </si>
  <si>
    <t>CRONOGRAMA FÍSICO / FINANCEIRO</t>
  </si>
  <si>
    <t>PO=</t>
  </si>
  <si>
    <t>LO=</t>
  </si>
  <si>
    <t>COMPOSIÇÃO ANALÍTICA DA TAXA DE BENEFÍCIO E DESPESAS INDIRETAS (BDI)</t>
  </si>
  <si>
    <t>Proponente:</t>
  </si>
  <si>
    <t>Data Base:</t>
  </si>
  <si>
    <t>Item</t>
  </si>
  <si>
    <t>Parcela do BDI</t>
  </si>
  <si>
    <t xml:space="preserve">AC = Taxa de Administração Central </t>
  </si>
  <si>
    <t>S e G = Taxas de Seguro e Garantia</t>
  </si>
  <si>
    <t>R = Taxa de Risco</t>
  </si>
  <si>
    <t>DF = Taxa de Despesas Financeiras</t>
  </si>
  <si>
    <t>I = Taxa de incidência de Impostos (PIS, COFINS e ISS)</t>
  </si>
  <si>
    <t>L = Taxa de Lucro / Remuneração</t>
  </si>
  <si>
    <t xml:space="preserve">Impostos </t>
  </si>
  <si>
    <t>6.4</t>
  </si>
  <si>
    <t>Total Impostos =</t>
  </si>
  <si>
    <t>Fórmula para o cálculo de BDI</t>
  </si>
  <si>
    <t>Notas:</t>
  </si>
  <si>
    <t>1) Alíquota de ISS é determinada pela “Relação de Serviços”  do município onde se prestará o serviço conforme art. 1º e art.8º da Lei Complementar nº116/2001.</t>
  </si>
  <si>
    <t>2) Alíquota máxima de PIS é de até 1,65% conforme Lei nº10.637/02 em consonância com o Regime de Tributação da Empresa</t>
  </si>
  <si>
    <t>3) Alíquota máxima de COFINS é de 3% conforme inciso XX do art. 10 da Lei nº10.833/03.</t>
  </si>
  <si>
    <t>4) Os percentuais dos itens que compõem analiticamente o BDI são so limites referenciais máximos adotados pela Administração consoante com o art.40 inciso X da Lei 8.666/93.</t>
  </si>
  <si>
    <t>M</t>
  </si>
  <si>
    <r>
      <t>m</t>
    </r>
    <r>
      <rPr>
        <b/>
        <sz val="10"/>
        <rFont val="Arial"/>
        <family val="2"/>
      </rPr>
      <t>²</t>
    </r>
  </si>
  <si>
    <t>L=</t>
  </si>
  <si>
    <t xml:space="preserve"> </t>
  </si>
  <si>
    <t>M³</t>
  </si>
  <si>
    <t>COMPOSIÇÃO 1</t>
  </si>
  <si>
    <t>VALOR TOTAL</t>
  </si>
  <si>
    <t>h</t>
  </si>
  <si>
    <t>COMPOSIÇÃO 2</t>
  </si>
  <si>
    <t>4.1</t>
  </si>
  <si>
    <t>4.3</t>
  </si>
  <si>
    <t>5.1</t>
  </si>
  <si>
    <t>Arbustos=</t>
  </si>
  <si>
    <t xml:space="preserve"> URBANIZAÇÃO</t>
  </si>
  <si>
    <t xml:space="preserve">PAVIMENTAÇÃO </t>
  </si>
  <si>
    <t>KG</t>
  </si>
  <si>
    <t>M²</t>
  </si>
  <si>
    <t>M2</t>
  </si>
  <si>
    <t>5º MÊS</t>
  </si>
  <si>
    <t>6º MÊS</t>
  </si>
  <si>
    <t>total.</t>
  </si>
  <si>
    <t>TOTAL=</t>
  </si>
  <si>
    <t>largura</t>
  </si>
  <si>
    <t>altura</t>
  </si>
  <si>
    <t>CONSTRUÇÃO DE EDIFÍCIOS</t>
  </si>
  <si>
    <t>MIN</t>
  </si>
  <si>
    <t>MED</t>
  </si>
  <si>
    <t>MAX</t>
  </si>
  <si>
    <t>BDI</t>
  </si>
  <si>
    <t>91928</t>
  </si>
  <si>
    <t>CABO DE COBRE FLEXÍVEL ISOLADO, 4 MM², ANTI-CHAMA 450/750 V, PARA CIRCUITOS TERMINAIS - FORNECIMENTO E INSTALAÇÃO. AF_12/2015</t>
  </si>
  <si>
    <t>92778</t>
  </si>
  <si>
    <t>ARMAÇÃO DE PILAR OU VIGA DE UMA ESTRUTURA CONVENCIONAL DE CONCRETO ARMADO EM UMA EDIFÍCAÇÃO TÉRREA OU SOBRADO UTILIZANDO AÇO CA-50 DE 10.0 MM - MONTAGEM. AF_12/2015</t>
  </si>
  <si>
    <t>kg</t>
  </si>
  <si>
    <t>92775</t>
  </si>
  <si>
    <t>ARMAÇÃO DE PILAR OU VIGA DE UMA ESTRUTURA CONVENCIONAL DE CONCRETO ARMADO EM UMA EDIFÍCAÇÃO TÉRREA OU SOBRADO UTILIZANDO AÇO CA-50 DE 5.0 MM - MONTAGEM. AF_12/2015</t>
  </si>
  <si>
    <t>IMPERMEABILIZACAO DE ESTRUTURAS ENTERRADAS, COM TINTA ASFALTICA, DUAS DEMAOS.</t>
  </si>
  <si>
    <t>total</t>
  </si>
  <si>
    <t>área</t>
  </si>
  <si>
    <t>ÁREA TOTAL =</t>
  </si>
  <si>
    <t>Árvores=</t>
  </si>
  <si>
    <t>SERVENTE COM ENCARGOS COMPLEMENTARES</t>
  </si>
  <si>
    <t>5.2</t>
  </si>
  <si>
    <t>5.3</t>
  </si>
  <si>
    <t>INFRAESTRUTURA</t>
  </si>
  <si>
    <t xml:space="preserve">   </t>
  </si>
  <si>
    <t>Altura</t>
  </si>
  <si>
    <t>94964</t>
  </si>
  <si>
    <t>CABO DE COBRE FLEXÍVEL ISOLADO, 2,5 MM², ANTI-CHAMA 450/750 V, PARA CIRCUITOS TERMINAIS - FORNECIMENTO E INSTALAÇÃO. AF_12/2015</t>
  </si>
  <si>
    <t>% ITEM</t>
  </si>
  <si>
    <t xml:space="preserve">GRAMA 1 = </t>
  </si>
  <si>
    <t xml:space="preserve">GRAMA 2 = </t>
  </si>
  <si>
    <t xml:space="preserve">GRAMA 3 = </t>
  </si>
  <si>
    <t>MOVIMENTO DE TERRA</t>
  </si>
  <si>
    <t>Comprimento</t>
  </si>
  <si>
    <t>total/m³</t>
  </si>
  <si>
    <t>Larg. + 0.10/m</t>
  </si>
  <si>
    <t>Comp. + 0.10/m</t>
  </si>
  <si>
    <t>largura/m</t>
  </si>
  <si>
    <t>perim. Da forma/m</t>
  </si>
  <si>
    <t>altura/m</t>
  </si>
  <si>
    <t>comprimento/m</t>
  </si>
  <si>
    <t>94963</t>
  </si>
  <si>
    <t>92263</t>
  </si>
  <si>
    <t>FABRICAÇÃO DE FÔRMA PARA PILARES E ESTRUTURAS SIMILARES, EM CHAPA DE MADEIRA COMPENSADA RESINADA, E = 17 MM. AF_12/2015</t>
  </si>
  <si>
    <t>93358</t>
  </si>
  <si>
    <t>ESCAVAÇÃO MANUAL DE VALAS. AF_03/2016</t>
  </si>
  <si>
    <t xml:space="preserve">BANCOS EM CONCRETO </t>
  </si>
  <si>
    <t>LIXEIRA</t>
  </si>
  <si>
    <t>quant. De lixeiras/un</t>
  </si>
  <si>
    <t>SOLDADOR COM ENCARGOS COMPLEMENTARES</t>
  </si>
  <si>
    <t>H</t>
  </si>
  <si>
    <t>UN</t>
  </si>
  <si>
    <t>TERRA VEGETAL (GRANEL)</t>
  </si>
  <si>
    <t>95240</t>
  </si>
  <si>
    <t>Faces</t>
  </si>
  <si>
    <t>CARPINTEIRO DE FORMAS COM ENCARGOS COMPLEMENTARES</t>
  </si>
  <si>
    <t>PEDREIRO COM ENCARGOS COMPLEMENTARES</t>
  </si>
  <si>
    <t xml:space="preserve"> m</t>
  </si>
  <si>
    <t>PREGO DE ACO POLIDO COM CABECA 18 X 27 (2 1/2 X 10)</t>
  </si>
  <si>
    <t>COMPOSIÇÃO 4</t>
  </si>
  <si>
    <t>área total</t>
  </si>
  <si>
    <t>MONUMENTO</t>
  </si>
  <si>
    <t>9.1</t>
  </si>
  <si>
    <t>Kg</t>
  </si>
  <si>
    <t>9.3</t>
  </si>
  <si>
    <t>COMPOSIÇÃO 6</t>
  </si>
  <si>
    <t>SERRALHEIRO COM ENCARGOS COMPLEMENTARES</t>
  </si>
  <si>
    <t>COMPOSIÇÃO 7</t>
  </si>
  <si>
    <t>M3</t>
  </si>
  <si>
    <t>COMPOSIÇÃO 8</t>
  </si>
  <si>
    <t>COMPOSIÇÃO 9</t>
  </si>
  <si>
    <t>Total =</t>
  </si>
  <si>
    <t>+</t>
  </si>
  <si>
    <t>quant./un</t>
  </si>
  <si>
    <t>quant. un</t>
  </si>
  <si>
    <t>PINTURA ACRILICA EM PISO CIMENTADO DUAS DEMAOS</t>
  </si>
  <si>
    <t>DRENAGEM</t>
  </si>
  <si>
    <t>-</t>
  </si>
  <si>
    <t>comprimento</t>
  </si>
  <si>
    <t>Largura</t>
  </si>
  <si>
    <t>Ocorrência</t>
  </si>
  <si>
    <t>Total</t>
  </si>
  <si>
    <t>Quant.</t>
  </si>
  <si>
    <t>Perímetro</t>
  </si>
  <si>
    <t>PISO 1</t>
  </si>
  <si>
    <t>PISO 2</t>
  </si>
  <si>
    <t>PISO 3</t>
  </si>
  <si>
    <t>PISO 4</t>
  </si>
  <si>
    <t>PISO 5</t>
  </si>
  <si>
    <t>PISO 6</t>
  </si>
  <si>
    <t>PISO 7</t>
  </si>
  <si>
    <t>PISO 8</t>
  </si>
  <si>
    <t>PISO 9</t>
  </si>
  <si>
    <t>PISO 10</t>
  </si>
  <si>
    <t>PISO 11</t>
  </si>
  <si>
    <t>PISO 12</t>
  </si>
  <si>
    <t>88309</t>
  </si>
  <si>
    <t>COMPOSIÇÃO 10</t>
  </si>
  <si>
    <t>88316</t>
  </si>
  <si>
    <t>8.1</t>
  </si>
  <si>
    <t>8.2</t>
  </si>
  <si>
    <t>8.3</t>
  </si>
  <si>
    <t>8.4</t>
  </si>
  <si>
    <t>8.5</t>
  </si>
  <si>
    <t>9.5</t>
  </si>
  <si>
    <t>espessura</t>
  </si>
  <si>
    <t>TOTAL (%)</t>
  </si>
  <si>
    <t>ACUMULADO NO MÊS (R$)</t>
  </si>
  <si>
    <t>ACUMULADO (%)</t>
  </si>
  <si>
    <t>TOTAL DO MÊS</t>
  </si>
  <si>
    <t>ENCARGOS SOCIAIS SOBRE A MÃO DE OBRA</t>
  </si>
  <si>
    <t>COM DESONERAÇÃO</t>
  </si>
  <si>
    <t>SEM DESONERAÇÃO</t>
  </si>
  <si>
    <t>HORISTA (%)</t>
  </si>
  <si>
    <t>MENSALISTA (%)</t>
  </si>
  <si>
    <t>GRUPO A</t>
  </si>
  <si>
    <t>A1</t>
  </si>
  <si>
    <t>INSS</t>
  </si>
  <si>
    <t>A2</t>
  </si>
  <si>
    <t xml:space="preserve">SESI </t>
  </si>
  <si>
    <t>A3</t>
  </si>
  <si>
    <t>SENAI</t>
  </si>
  <si>
    <t>A4</t>
  </si>
  <si>
    <t xml:space="preserve">INCRA </t>
  </si>
  <si>
    <t>A5</t>
  </si>
  <si>
    <t xml:space="preserve">SEBRAE </t>
  </si>
  <si>
    <t>A6</t>
  </si>
  <si>
    <t xml:space="preserve">Salário Educação </t>
  </si>
  <si>
    <t>A7</t>
  </si>
  <si>
    <t>Seguro Contra Acidentes de Trabalho</t>
  </si>
  <si>
    <t>A8</t>
  </si>
  <si>
    <t xml:space="preserve">FGTS </t>
  </si>
  <si>
    <t>A9</t>
  </si>
  <si>
    <t xml:space="preserve">SECONCI </t>
  </si>
  <si>
    <t>A</t>
  </si>
  <si>
    <t>GRUPO B</t>
  </si>
  <si>
    <t>B1</t>
  </si>
  <si>
    <t xml:space="preserve">Repouso Semanal Remunerado </t>
  </si>
  <si>
    <t>Não incide</t>
  </si>
  <si>
    <t>B2</t>
  </si>
  <si>
    <t>Feriados</t>
  </si>
  <si>
    <t>B3</t>
  </si>
  <si>
    <t xml:space="preserve">Auxílio - Enfermidade </t>
  </si>
  <si>
    <t>B4</t>
  </si>
  <si>
    <t xml:space="preserve">13º Salário </t>
  </si>
  <si>
    <t>B5</t>
  </si>
  <si>
    <t>Licença Paternidade</t>
  </si>
  <si>
    <t>B6</t>
  </si>
  <si>
    <t>Faltas Justificadas</t>
  </si>
  <si>
    <t>B7</t>
  </si>
  <si>
    <t xml:space="preserve">Dias de Chuvas </t>
  </si>
  <si>
    <t>B8</t>
  </si>
  <si>
    <t>Auxílio Acidente de Trabalho</t>
  </si>
  <si>
    <t>B9</t>
  </si>
  <si>
    <t xml:space="preserve">Férias Gozadas </t>
  </si>
  <si>
    <t>B10</t>
  </si>
  <si>
    <t>Salário Maternidade</t>
  </si>
  <si>
    <t>B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</si>
  <si>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</si>
  <si>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</si>
  <si>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</si>
  <si>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</si>
  <si>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</si>
  <si>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</si>
  <si>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</si>
  <si>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</si>
  <si>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</si>
  <si>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</si>
  <si>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 xml:space="preserve">Indenização Adicional </t>
  </si>
  <si>
    <t>C</t>
  </si>
  <si>
    <t>GRUPO D</t>
  </si>
  <si>
    <t>D1</t>
  </si>
  <si>
    <t xml:space="preserve">Reincidência de Grupo A sobre Grupo B </t>
  </si>
  <si>
    <t>D2</t>
  </si>
  <si>
    <t>Reincidência de Grupo A sobre Aviso Prévio Trabalhado e Reincidência do FGTS sobre Aviso Prévio Indenizado</t>
  </si>
  <si>
    <t>D</t>
  </si>
  <si>
    <t>TOTAL (A+B+C+D)</t>
  </si>
  <si>
    <t>MEMÓRIA DE CÁLCULO 8</t>
  </si>
  <si>
    <t>Conforme o projeto elétrico</t>
  </si>
  <si>
    <t>PREFEITURA MUNICIPAL DE BRASIL NOVO/PA</t>
  </si>
  <si>
    <t>COMPOSIÇÕES DE PREÇO UNITÁRIO</t>
  </si>
  <si>
    <t>UND</t>
  </si>
  <si>
    <t>ENGENHEIRO CIVIL JUNIOR COM ENCARGOS COMPLEMENTARES</t>
  </si>
  <si>
    <t>ENCARREGADO GERAL COM ENCARGOS COMPLEMENTARES</t>
  </si>
  <si>
    <t>Engenheiro</t>
  </si>
  <si>
    <t>Horas/Dia</t>
  </si>
  <si>
    <t>Dias/Mês</t>
  </si>
  <si>
    <t>Meses</t>
  </si>
  <si>
    <t>Total de Horas</t>
  </si>
  <si>
    <t>Encarregado Geral</t>
  </si>
  <si>
    <t xml:space="preserve">TOTAL= </t>
  </si>
  <si>
    <t>larg(m)</t>
  </si>
  <si>
    <t>comp.(m)</t>
  </si>
  <si>
    <t>DEMOLIÇÕES E RETIRADAS</t>
  </si>
  <si>
    <t>SEDOP</t>
  </si>
  <si>
    <t>20018</t>
  </si>
  <si>
    <t>Espessura</t>
  </si>
  <si>
    <t>Quantidade</t>
  </si>
  <si>
    <t>102479</t>
  </si>
  <si>
    <t>CONCRETO MAGRO PARA LASTRO, TRAÇO 1:4,5:4,5 (EM MASSA SECA DE CIMENTO/ AREIA MÉDIA/ SEIXO ROLADO) - PREPARO MECÂNICO COM BETONEIRA 600 L. AF_05/2021</t>
  </si>
  <si>
    <t>Qtdd</t>
  </si>
  <si>
    <t>Trapézio</t>
  </si>
  <si>
    <t>102487</t>
  </si>
  <si>
    <t>CONCRETO CICLÓPICO FCK = 15MPA, 30% PEDRA DE MÃO EM VOLUME REAL, INCLUSIVE LANÇAMENTO. AF_05/2021</t>
  </si>
  <si>
    <t>96536</t>
  </si>
  <si>
    <t>FABRICAÇÃO, MONTAGEM E DESMONTAGEM DE FÔRMA PARA VIGA BALDRAME, EM MADEIRA SERRADA, E=25 MM, 4 UTILIZAÇÕES. AF_06/2017</t>
  </si>
  <si>
    <t>101159</t>
  </si>
  <si>
    <t>ALVENARIA DE VEDAÇÃO DE BLOCOS CERÂMICOS MACIÇOS DE 5X10X20CM (ESPESSURA 10CM) E ARGAMASSA DE ASSENTAMENTO COM PREPARO EM BETONEIRA. AF_05/2020</t>
  </si>
  <si>
    <t>98562</t>
  </si>
  <si>
    <t>SINAPI-I</t>
  </si>
  <si>
    <t>7253</t>
  </si>
  <si>
    <t>MUDA DE ARBUSTO, PINGO DE OURO/ VIOLETEIRA, H = *10 A 20* CM</t>
  </si>
  <si>
    <t xml:space="preserve">UN    </t>
  </si>
  <si>
    <t>88441</t>
  </si>
  <si>
    <t>JARDINEIRO COM ENCARGOS COMPLEMENTARES</t>
  </si>
  <si>
    <t>EMBOÇO OU MASSA ÚNICA EM ARGAMASSA TRAÇO 1:2:8, PREPARO MECÂNICO COM BETONEIRA 400 L, APLICADA MANUALMENTE EM PANOS CEGOS DE FACHADA (SEM PRESENÇA DE VÃOS), ESPESSURA DE 25 MM. AF_06/2014</t>
  </si>
  <si>
    <t>96540</t>
  </si>
  <si>
    <t>FABRICAÇÃO, MONTAGEM E DESMONTAGEM DE FÔRMA PARA BLOCO DE COROAMENTO, EM CHAPA DE MADEIRA COMPENSADA RESINADA, E=17 MM, 4 UTILIZAÇÕES. AF_06/2017</t>
  </si>
  <si>
    <t>88317</t>
  </si>
  <si>
    <t xml:space="preserve">M     </t>
  </si>
  <si>
    <t>39746</t>
  </si>
  <si>
    <t>CHUMBADOR DE ACO, 1" X 600 MM, PARA POSTES DE ACO COM BASE, INCLUSO PORCA E ARRUELA</t>
  </si>
  <si>
    <t xml:space="preserve">KG    </t>
  </si>
  <si>
    <t>11245</t>
  </si>
  <si>
    <t>GRELHA FOFO SIMPLES COM REQUADRO, CARGA MAXIMA  12,5 T, *300 X 1000* MM, E= *15* MM, AREA ESTACIONAMENTO CARRO PASSEIO</t>
  </si>
  <si>
    <t>ESCAVAÇÃO MANUAL DE VALA COM PROFUNDIDADE MENOR OU IGUAL A 1,30 M. AF_02/2021</t>
  </si>
  <si>
    <t>LASTRO DE CONCRETO MAGRO, APLICADO EM PISOS, LAJES SOBRE SOLO OU RADIERS, ESPESSURA DE 3 CM. AF_07/2016</t>
  </si>
  <si>
    <t>98547</t>
  </si>
  <si>
    <t>4491</t>
  </si>
  <si>
    <t>4509</t>
  </si>
  <si>
    <t>6189</t>
  </si>
  <si>
    <t>CONCRETO FCK = 15MPA, TRAÇO 1:3,4:3,5 (EM MASSA SECA DE CIMENTO/ AREIA MÉDIA/ BRITA 1) - PREPARO MECÂNICO COM BETONEIRA 400 L. AF_05/2021</t>
  </si>
  <si>
    <t>ARGAMASSA TRAÇO 1:4 (EM VOLUME DE CIMENTO E AREIA MÉDIA ÚMIDA) PARA CONTRAPISO, PREPARO MANUAL. AF_08/2019</t>
  </si>
  <si>
    <t>IMPERMEABILIZAÇÃO DE SUPERFÍCIE COM MANTA ASFÁLTICA, DUAS CAMADAS, INCLUSIVE APLICAÇÃO DE PRIMER ASFÁLTICO, E=3MM E E=4MM. AF_06/2018</t>
  </si>
  <si>
    <t>PONTALETE *7,5 X 7,5* CM EM PINUS, MISTA OU EQUIVALENTE DA REGIAO - BRUTA</t>
  </si>
  <si>
    <t>SARRAFO *2,5 X 10* CM EM PINUS, MISTA OU EQUIVALENTE DA REGIAO - BRUTA</t>
  </si>
  <si>
    <t>TABUA NAO APARELHADA *2,5 X 30* CM, EM MACARANDUBA, ANGELIM OU EQUIVALENTE DA REGIAO - BRUTA</t>
  </si>
  <si>
    <t>CALHA DE CONCRETO, 40X20 CM, ESPESSURA 8 CM PREPARADA EM BETONEIRA COM CIMENTADO LISO EXECUTADO COM ARGAMASSA TRACO 1:4 (CIMENTO E AREIA MEDIA NAO PENEIRADA), INCLUINDO GRELHA FIXA EM FERRO GALV PREPARO MANUAL</t>
  </si>
  <si>
    <t>PINTOR COM ENCARGOS COMPLEMENTARES</t>
  </si>
  <si>
    <t>88315</t>
  </si>
  <si>
    <t>88262</t>
  </si>
  <si>
    <t>4517</t>
  </si>
  <si>
    <t>CHP</t>
  </si>
  <si>
    <t>Comprimento total da praça =</t>
  </si>
  <si>
    <t>Largura da praça =</t>
  </si>
  <si>
    <t>Área (conforme CAD)</t>
  </si>
  <si>
    <t>Área do Playground =</t>
  </si>
  <si>
    <t>Área de Pisos (1)=</t>
  </si>
  <si>
    <t>Área de Pisos (2)=</t>
  </si>
  <si>
    <t>Área de Pisos (3)=</t>
  </si>
  <si>
    <t>Área de Pisos (4)=</t>
  </si>
  <si>
    <t>Área de Pisos (5)=</t>
  </si>
  <si>
    <t>Área de Pisos (6)=</t>
  </si>
  <si>
    <t>Área de Pisos (7)=</t>
  </si>
  <si>
    <t>Área de Pisos (8)=</t>
  </si>
  <si>
    <t>Área de Pisos (9)=</t>
  </si>
  <si>
    <t>Área de Pisos (10)=</t>
  </si>
  <si>
    <t>Área de Pisos (11)=</t>
  </si>
  <si>
    <t>Área de Pisos (12)=</t>
  </si>
  <si>
    <t>calçada 1 =</t>
  </si>
  <si>
    <t>calçada 2 =</t>
  </si>
  <si>
    <t>calçada 3 =</t>
  </si>
  <si>
    <t>calçada 4 =</t>
  </si>
  <si>
    <t>calçada 5 =</t>
  </si>
  <si>
    <t>calçada 6 =</t>
  </si>
  <si>
    <t>calçada 7 =</t>
  </si>
  <si>
    <t>calçada 8 =</t>
  </si>
  <si>
    <t>calçada 9 =</t>
  </si>
  <si>
    <t>98525</t>
  </si>
  <si>
    <t>LIMPEZA MECANIZADA DE CAMADA VEGETAL, VEGETAÇÃO E PEQUENAS ÁRVORES (DIÂMETRO DE TRONCO MENOR QUE 0,20 M), COM TRATOR DE ESTEIRAS.AF_05/2018</t>
  </si>
  <si>
    <t>5928</t>
  </si>
  <si>
    <t>GUINDAUTO HIDRÁULICO, CAPACIDADE MÁXIMA DE CARGA 6200 KG, MOMENTO MÁXIMO DE CARGA 11,7 TM, ALCANCE MÁXIMO HORIZONTAL 9,70 M, INCLUSIVE CAMINHÃO TOCO PBT 16.000 KG, POTÊNCIA DE 189 CV - CHP DIURNO. AF_06/2014</t>
  </si>
  <si>
    <t>88247</t>
  </si>
  <si>
    <t>AUXILIAR DE ELETRICISTA COM ENCARGOS COMPLEMENTARES</t>
  </si>
  <si>
    <t>88264</t>
  </si>
  <si>
    <t>ELETRICISTA COM ENCARGOS COMPLEMENTARES</t>
  </si>
  <si>
    <t>94990</t>
  </si>
  <si>
    <t>EXECUÇÃO DE PASSEIO (CALÇADA) OU PISO DE CONCRETO COM CONCRETO MOLDADO IN LOCO, FEITO EM OBRA, ACABAMENTO CONVENCIONAL, NÃO ARMADO. AF_07/2016</t>
  </si>
  <si>
    <t>CALÇADA 1 =</t>
  </si>
  <si>
    <t>CALÇADA 2 =</t>
  </si>
  <si>
    <t>CALÇADA 3 =</t>
  </si>
  <si>
    <t>CALÇADA 4 =</t>
  </si>
  <si>
    <t>CALÇADA 5 =</t>
  </si>
  <si>
    <t>CALÇADA 6 =</t>
  </si>
  <si>
    <t>CALÇADA 7 =</t>
  </si>
  <si>
    <t>CALÇADA 8 =</t>
  </si>
  <si>
    <t>CALÇADA 9 =</t>
  </si>
  <si>
    <t>Volume TOTAL =</t>
  </si>
  <si>
    <t>Área total</t>
  </si>
  <si>
    <t>UNID</t>
  </si>
  <si>
    <t>Comprimento Externo =</t>
  </si>
  <si>
    <t>C. total=</t>
  </si>
  <si>
    <t>V. total=</t>
  </si>
  <si>
    <t>PÓRTICO ARQUEADO EM TUBO DE AÇO</t>
  </si>
  <si>
    <t>96617</t>
  </si>
  <si>
    <t>ESCAVAÇÃO MANUAL PARA BLOCO DE COROAMENTO OU SAPATA, SEM PREVISÃO DE FÔRMA. AF_06/2017</t>
  </si>
  <si>
    <t>LASTRO DE CONCRETO MAGRO, APLICADO EM BLOCOS DE COROAMENTO OU SAPATAS, ESPESSURA DE 3 CM. AF_08/2017</t>
  </si>
  <si>
    <t>FABRICAÇÃO, MONTAGEM E DESMONTAGEM DE FÔRMA PARA BLOCO DE COROAMENTO, EM MADEIRA SERRADA, E=25 MM, 4 UTILIZAÇÕES. AF_06/2017</t>
  </si>
  <si>
    <t>ARMAÇÃO DE BLOCO, VIGA BALDRAME OU SAPATA UTILIZANDO AÇO CA-50 DE 10 MM - MONTAGEM. AF_06/2017</t>
  </si>
  <si>
    <t>REATERRO MANUAL APILOADO COM SOQUETE. AF_10/2017</t>
  </si>
  <si>
    <t>ESTRUTURA DOS ARCOS</t>
  </si>
  <si>
    <t>TUBO ACO GALVANIZADO COM COSTURA, CLASSE MEDIA, DN 5", E = *5,40* MM, PESO *17,80* KG/M (NBR 5580)</t>
  </si>
  <si>
    <t>FLANGE EM CHAPA DE AÇO GALVANIZADO DE BITOLA GSG 14, E = 1,95 MM (15,60 KG/M2), COM CHUMBADOR DE AÇO 1" X 60 MM, INCLUINDO PORCA E ARRUELA</t>
  </si>
  <si>
    <t>CHAPISCO APLICADO EM ALVENARIA (SEM PRESENÇA DE VÃOS) E ESTRUTURAS DE CONCRETO DE FACHADA, COM COLHER DE PEDREIRO.  ARGAMASSA TRAÇO 1:3 COM PREPARO MANUAL. AF_06/2014</t>
  </si>
  <si>
    <t>REVESTIMENTO E PINTURA DOS BLOCOS</t>
  </si>
  <si>
    <t>PINTURA DOS TUBOS</t>
  </si>
  <si>
    <t>LUMINARIA LED REFLETOR RETANGULAR BIVOLT, LUZ BRANCA, 10 W. INCLUINDO RASGO NO TUBO</t>
  </si>
  <si>
    <t>91926</t>
  </si>
  <si>
    <t>ELETRODUTO FLEXÍVEL CORRUGADO, PVC, DN 25 MM (3/4"), PARA CIRCUITOS TERMINAIS, INSTALADO EM FORRO - FORNECIMENTO E INSTALAÇÃO. AF_12/2015</t>
  </si>
  <si>
    <t>ELÉTRICO DOS ARCOS</t>
  </si>
  <si>
    <t xml:space="preserve">CHAPA DE ACO GALVANIZADA BITOLA GSG 14, E = 1,95 MM (15,60 KG/M2)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</si>
  <si>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CHUMBADOR DE ACO, 1" X 600 MM, PARA POSTES DE ACO COM BASE, INCLUSO PORCA E ARRUELA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</si>
  <si>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AUXILIAR DE SERRALHEIRO COM ENCARGOS COMPLEMENTARES</t>
  </si>
  <si>
    <t xml:space="preserve">TUBO ACO GALVANIZADO COM COSTURA, CLASSE MEDIA, DN 5", E = *5,40* MM, PESO *17,80* KG/M (NBR 5580)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</si>
  <si>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LUMINARIA LED REFLETOR RETANGULAR BIVOLT, LUZ BRANCA, 10 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</si>
  <si>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APARELHO PARA CORTE E SOLDA OXI-ACETILENO SOBRE RODAS, INCLUSIVE CILINDROS E MAÇARICOS - CHP DIURNO. AF_12/2015</t>
  </si>
  <si>
    <t xml:space="preserve">Volume de escavação, previsão de forma de 5 cm em cada lado </t>
  </si>
  <si>
    <t>Altura + lastro</t>
  </si>
  <si>
    <t>Comp.+0,1</t>
  </si>
  <si>
    <t>Largura+0,1</t>
  </si>
  <si>
    <t>Face 1 - retângulo</t>
  </si>
  <si>
    <t>ocorrência</t>
  </si>
  <si>
    <t>Face 2 e 3 - retângulo + trapézio</t>
  </si>
  <si>
    <t>Retângulo</t>
  </si>
  <si>
    <t>Fórmula do trapézio:</t>
  </si>
  <si>
    <t>área da face</t>
  </si>
  <si>
    <t>(</t>
  </si>
  <si>
    <t>)</t>
  </si>
  <si>
    <t>Face 4 - quadrado + quadrado inclinado</t>
  </si>
  <si>
    <t xml:space="preserve">Quadrado </t>
  </si>
  <si>
    <t>Quadrado inclinado</t>
  </si>
  <si>
    <t>ÁREA DE FORMA DE UM BLOCO:</t>
  </si>
  <si>
    <t>ÁREA TOTAL DE FORMA DOS BLOCOS:</t>
  </si>
  <si>
    <t>área de forma de um bloco</t>
  </si>
  <si>
    <t>quant. de blocos</t>
  </si>
  <si>
    <t>Aço</t>
  </si>
  <si>
    <t>Diâmetro</t>
  </si>
  <si>
    <t>N</t>
  </si>
  <si>
    <t>Comp. Unit.(m)</t>
  </si>
  <si>
    <t>Comp. Total (m)</t>
  </si>
  <si>
    <t>CA-50</t>
  </si>
  <si>
    <t>10.0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</si>
  <si>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</si>
  <si>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</si>
  <si>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</si>
  <si>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</si>
  <si>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</si>
  <si>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</si>
  <si>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</si>
  <si>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</si>
  <si>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</si>
  <si>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</si>
  <si>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</si>
  <si>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</si>
  <si>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</si>
  <si>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</si>
  <si>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</si>
  <si>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</si>
  <si>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</si>
  <si>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</si>
  <si>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</si>
  <si>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 xml:space="preserve">Comprimento total = </t>
  </si>
  <si>
    <t>comp. Total por bloco</t>
  </si>
  <si>
    <t>quant. De blocos</t>
  </si>
  <si>
    <t>massa unit.</t>
  </si>
  <si>
    <t>Área da Face 02</t>
  </si>
  <si>
    <t>Área total da face 2:</t>
  </si>
  <si>
    <t>VOLUME DO BLOCO:</t>
  </si>
  <si>
    <t>área da face 2</t>
  </si>
  <si>
    <t>vol. de um bloco</t>
  </si>
  <si>
    <t>VOLUME TOTAL DOS BLOCOS:</t>
  </si>
  <si>
    <t>V.escavado-Item:</t>
  </si>
  <si>
    <t>V.conc.-Item:</t>
  </si>
  <si>
    <t>Comprimento dos tubos</t>
  </si>
  <si>
    <t>Por arco</t>
  </si>
  <si>
    <t>Impermeabilização apenas da face superior do bloco ( face que receberá o tubo de aço)</t>
  </si>
  <si>
    <t>LATERAIS DO BLOCO:</t>
  </si>
  <si>
    <t>Face 1</t>
  </si>
  <si>
    <t>Face 2 e Face 3</t>
  </si>
  <si>
    <t xml:space="preserve">b </t>
  </si>
  <si>
    <t>Face 4</t>
  </si>
  <si>
    <t>ÁREA DAS LATERAIS DA PARTE AMOSTRA DOS BLOCOS:</t>
  </si>
  <si>
    <t>FACE SUPERIOR DO BLOCO:</t>
  </si>
  <si>
    <t>ÁREA DA FACE SUPERIOR DOS BLOCOS:</t>
  </si>
  <si>
    <t>área da face superior</t>
  </si>
  <si>
    <t>Desconto:</t>
  </si>
  <si>
    <t>área do tubo</t>
  </si>
  <si>
    <t>quant. De tubos</t>
  </si>
  <si>
    <t>FACE SUPERIOR:</t>
  </si>
  <si>
    <t>Desconto</t>
  </si>
  <si>
    <t>ÁREA TOTAL</t>
  </si>
  <si>
    <t>Área das laterais dos blocos</t>
  </si>
  <si>
    <t>Área da face superior dos blocos</t>
  </si>
  <si>
    <t>Área lateral dos tubos</t>
  </si>
  <si>
    <t>π</t>
  </si>
  <si>
    <t>R</t>
  </si>
  <si>
    <t>101632</t>
  </si>
  <si>
    <t>RELÉ FOTOELÉTRICO PARA COMANDO DE ILUMINAÇÃO EXTERNA 1000 W - FORNECIMENTO E INSTALAÇÃO. AF_08/2020</t>
  </si>
  <si>
    <t>100721</t>
  </si>
  <si>
    <t>PINTURA COM TINTA ALQUÍDICA DE FUNDO (TIPO ZARCÃO) PULVERIZADA SOBRE SUPERFÍCIES METÁLICAS (EXCETO PERFIL) EXECUTADO EM OBRA (POR DEMÃO). AF_01/2020_P</t>
  </si>
  <si>
    <t>100759</t>
  </si>
  <si>
    <t>PINTURA COM TINTA ALQUÍDICA DE ACABAMENTO (ESMALTE SINTÉTICO BRILHANTE) PULVERIZADA SOBRE SUPERFÍCIES METÁLICAS (EXCETO PERFIL) EXECUTADO EM OBRA (02 DEMÃOS). AF_01/2020_P</t>
  </si>
  <si>
    <t>102491</t>
  </si>
  <si>
    <t>INSTALAÇÕES ELÉTRICAS - PRAÇA</t>
  </si>
  <si>
    <t>94970</t>
  </si>
  <si>
    <t>CONCRETO FCK = 20MPA, TRAÇO 1:2,7:3 (EM MASSA SECA DE CIMENTO/ AREIA MÉDIA/ BRITA 1) - PREPARO MECÂNICO COM BETONEIRA 600 L. AF_05/2021</t>
  </si>
  <si>
    <t>CONCRETO FCK = 20MPA, TRAÇO 1:2,7:3 (EM MASSA SECA DE CIMENTO/ AREIA MÉDIA/ BRITA 1) - PREPARO MECÂNICO COM BETONEIRA 400 L. AF_05/2021</t>
  </si>
  <si>
    <t>PINTURA DE PISO COM TINTA ACRÍLICA, APLICAÇÃO MANUAL, 2 DEMÃOS, INCLUSO FUNDO PREPARADOR. AF_05/2021</t>
  </si>
  <si>
    <t>Demolição manual de concreto simples - Calçada existente</t>
  </si>
  <si>
    <t>RETIRADA DE POSTE E INSTALAÇÕES</t>
  </si>
  <si>
    <t>3671</t>
  </si>
  <si>
    <t>JUNTA PLASTICA DE DILATACAO PARA PISOS, COR CINZA, 17 X 3 MM (ALTURA X ESPESSURA)</t>
  </si>
  <si>
    <t>FONTE INTERATIVA E MONUMENTO</t>
  </si>
  <si>
    <t>CASA DE BOMBA</t>
  </si>
  <si>
    <t>LASTRO DE CONCRETO MAGRO, APLICADO EM PISOS OU RADIERS, ESPESSURA DE 5 CM. AF_07/2016</t>
  </si>
  <si>
    <t>CONCRETO FCK = 20MPA, TRAÇO 1:2,7:3 (CIMENTO/ AREIA MÉDIA/ BRITA 1)  - PREPARO MECÂNICO COM BETONEIRA 600 L. AF_07/2016</t>
  </si>
  <si>
    <t>ARMAÇÃO DE PILAR OU VIGA DE UMA ESTRUTURA CONVENCIONAL DE CONCRETO ARMADO EM UMA EDIFICAÇÃO TÉRREA OU SOBRADO UTILIZANDO AÇO CA-50 DE 8,0 MM - MONTAGEM. AF_12/2015</t>
  </si>
  <si>
    <t>ARMAÇÃO DE PILAR OU VIGA DE UMA ESTRUTURA CONVENCIONAL DE CONCRETO ARMADO EM UMA EDIFICAÇÃO TÉRREA OU SOBRADO UTILIZANDO AÇO CA-50 DE 6,3 MM - MONTAGEM. AF_12/2015</t>
  </si>
  <si>
    <t>LAJE DA TAMPA</t>
  </si>
  <si>
    <t>BASE DA BOMBA</t>
  </si>
  <si>
    <t>TAMPA EM ESTRUTURA DE AÇO (CANTONEIRA 2"X2"X1/4" E CHAPA GSG 1,95MM) - PARA CASA DE BOMBA</t>
  </si>
  <si>
    <t>TAMPA EM ESTRUTURA DE AÇO (CANTONEIRA 2"X2"X1/4" E CHAPA GSG 1,95MM) COM APOIO EM CONCRETO - PARA CASA DE FILTRO E CISTERNA</t>
  </si>
  <si>
    <t>759</t>
  </si>
  <si>
    <t>9857</t>
  </si>
  <si>
    <t>4208</t>
  </si>
  <si>
    <t>4182</t>
  </si>
  <si>
    <t>3931</t>
  </si>
  <si>
    <t>3914</t>
  </si>
  <si>
    <t>1792</t>
  </si>
  <si>
    <t>9890</t>
  </si>
  <si>
    <t>94500</t>
  </si>
  <si>
    <t>10235</t>
  </si>
  <si>
    <t>94479</t>
  </si>
  <si>
    <t>TÊ, EM FERRO GALVANIZADO, CONEXÃO ROSQUEADA, DN 80 (3), INSTALADO EM RESERVAÇÃO DE ÁGUA DE EDIFICAÇÃO QUE POSSUA RESERVATÓRIO DE FIBRA/FIBROCIMENTO  FORNECIMENTO E INSTALAÇÃO. AF_06/2016</t>
  </si>
  <si>
    <t>50</t>
  </si>
  <si>
    <t>1779</t>
  </si>
  <si>
    <t>INSTALAÇÕES HIDRÁULICAS</t>
  </si>
  <si>
    <t>TUBO, PVC, SOLDÁVEL, DN 32MM, INSTALADO EM PRUMADA DE ÁGUA - FORNECIMENTO E INSTALAÇÃO. AF_12/2014</t>
  </si>
  <si>
    <t>TUBO, PVC, SOLDÁVEL, DN 40MM, INSTALADO EM PRUMADA DE ÁGUA - FORNECIMENTO E INSTALAÇÃO. AF_12/2014</t>
  </si>
  <si>
    <t>TUBO, PVC, SOLDÁVEL, DN 75MM, INSTALADO EM PRUMADA DE ÁGUA - FORNECIMENTO E INSTALAÇÃO. AF_12/2014</t>
  </si>
  <si>
    <t>730</t>
  </si>
  <si>
    <t>11707</t>
  </si>
  <si>
    <t xml:space="preserve">RALO FOFO SEMIESFERICO, 75 MM, PARA LAJES/ CALHAS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</si>
  <si>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Cotação</t>
  </si>
  <si>
    <t>COT-007</t>
  </si>
  <si>
    <t>COT-008</t>
  </si>
  <si>
    <t>BICOS PARA FONTE TIPO COROA 1"</t>
  </si>
  <si>
    <t>INSTALAÇÕES ELÉTRICAS (FONTE-CASA DE BOMBA-POÇO)</t>
  </si>
  <si>
    <t>LUMINÁRIA ORNAMENTAL EMBUTIDA NO PISO ESTANQUE, COM PROTEÇÃO CONTRA ÁGUA, POEIRA OU IMPACTOS - TIPO AQUATIC PIAL OU EQUIVALENTE, INCLUINDO TUBO DE PVC, DN 100 MM E CAMADA DRENANTE</t>
  </si>
  <si>
    <t>91868</t>
  </si>
  <si>
    <t>ELETRODUTO RÍGIDO ROSCÁVEL, PVC, DN 32 MM (1"), PARA CIRCUITOS TERMINAIS, INSTALADO EM LAJE - FORNECIMENTO E INSTALAÇÃO. AF_12/2015</t>
  </si>
  <si>
    <t>93008</t>
  </si>
  <si>
    <t>ELETRODUTO RÍGIDO ROSCÁVEL, PVC, DN 50 MM (1 1/2") - FORNECIMENTO E INSTALAÇÃO. AF_12/2015</t>
  </si>
  <si>
    <t>93009</t>
  </si>
  <si>
    <t>ELETRODUTO RÍGIDO ROSCÁVEL, PVC, DN 60 MM (2") - FORNECIMENTO E INSTALAÇÃO. AF_12/2015</t>
  </si>
  <si>
    <t>92001</t>
  </si>
  <si>
    <t>TOMADA BAIXA DE EMBUTIR (1 MÓDULO), 2P+T 20 A, INCLUINDO SUPORTE E PLACA - FORNECIMENTO E INSTALAÇÃO. AF_12/2015</t>
  </si>
  <si>
    <t>92000</t>
  </si>
  <si>
    <t>TOMADA BAIXA DE EMBUTIR (1 MÓDULO), 2P+T 10 A, INCLUINDO SUPORTE E PLACA - FORNECIMENTO E INSTALAÇÃO. AF_12/2015</t>
  </si>
  <si>
    <t>93660</t>
  </si>
  <si>
    <t>DISJUNTOR BIPOLAR TIPO DIN, CORRENTE NOMINAL DE 10A - FORNECIMENTO E INSTALAÇÃO. AF_04/2016</t>
  </si>
  <si>
    <t>96985</t>
  </si>
  <si>
    <t>HASTE DE ATERRAMENTO 5/8  PARA SPDA - FORNECIMENTO E INSTALAÇÃO. AF_12/2017</t>
  </si>
  <si>
    <t>98111</t>
  </si>
  <si>
    <t>CAIXA DE INSPEÇÃO PARA ATERRAMENTO, CIRCULAR, EM POLIETILENO, DIÂMETRO INTERNO = 0,3 M. AF_05/2018</t>
  </si>
  <si>
    <t>Volume de escavação, com 10cm de folga em cada lado</t>
  </si>
  <si>
    <t>CISTERNA</t>
  </si>
  <si>
    <t>CASA DE BOMBA 1</t>
  </si>
  <si>
    <t>CASA DE BOMBA 2</t>
  </si>
  <si>
    <t>CASA DE FILTRO</t>
  </si>
  <si>
    <t>Área do fundo</t>
  </si>
  <si>
    <t xml:space="preserve">Área do fundo </t>
  </si>
  <si>
    <t>Área de forma das paredes</t>
  </si>
  <si>
    <t xml:space="preserve">perímetro interno </t>
  </si>
  <si>
    <t>área de forma</t>
  </si>
  <si>
    <t>Faces internas</t>
  </si>
  <si>
    <t>perímetro externo</t>
  </si>
  <si>
    <t>Faces externas</t>
  </si>
  <si>
    <t>Total=</t>
  </si>
  <si>
    <t>Perímetro externo</t>
  </si>
  <si>
    <t xml:space="preserve">CISTERNA - Paredes </t>
  </si>
  <si>
    <t>CASA DE BOMBA 1- Paredes</t>
  </si>
  <si>
    <t>CASA DE BOMBA 2- Paredes</t>
  </si>
  <si>
    <t>CASA DE FILTRO - Paredes</t>
  </si>
  <si>
    <t>área do fundo</t>
  </si>
  <si>
    <t>CISTERNA - Laje de Fundo</t>
  </si>
  <si>
    <t>CASA DE BOMBA 1- Laje de Fundo</t>
  </si>
  <si>
    <t>CASA DE BOMBA 2- Laje de Fundo</t>
  </si>
  <si>
    <t>CASA DE FILTRO- Laje de Fundo</t>
  </si>
  <si>
    <t>Diam. (mm)</t>
  </si>
  <si>
    <t>Laje do Fundo</t>
  </si>
  <si>
    <t>ø 8,0</t>
  </si>
  <si>
    <t>Paredes</t>
  </si>
  <si>
    <t>ø 6,3</t>
  </si>
  <si>
    <t>ABRIGO DE FILTRO</t>
  </si>
  <si>
    <t>Mesmo item "Concreto Fck = 20Mpa"</t>
  </si>
  <si>
    <t>Desconto (Escotilha)</t>
  </si>
  <si>
    <t>CISTERNA - Tampa - Forma do fundo</t>
  </si>
  <si>
    <t>CASA DE FILTRO - Tampa - Forma do fundo</t>
  </si>
  <si>
    <t>perímetro</t>
  </si>
  <si>
    <t>CISTERNA - Tampa - laterais</t>
  </si>
  <si>
    <t>CASA DE FILTRO - Tampa - laterais</t>
  </si>
  <si>
    <t xml:space="preserve">Volume de concreto da laje </t>
  </si>
  <si>
    <t>cisterna</t>
  </si>
  <si>
    <t>casa de filtro</t>
  </si>
  <si>
    <t>Lajes da tampa</t>
  </si>
  <si>
    <t>Volume da base da bomba</t>
  </si>
  <si>
    <t>quant</t>
  </si>
  <si>
    <t>Área</t>
  </si>
  <si>
    <t>9.2</t>
  </si>
  <si>
    <t>9.4</t>
  </si>
  <si>
    <t>Comprimentos =</t>
  </si>
  <si>
    <t>27,72 + 19,87 + 6,42 + 11,15 + 8,72 + 31,57</t>
  </si>
  <si>
    <t>FONTE INTERATIVA / CASA DE BOMBA</t>
  </si>
  <si>
    <t>101617</t>
  </si>
  <si>
    <t>PREPARO DE FUNDO DE VALA COM LARGURA MAIOR OU IGUAL A 1,5 M E MENOR QUE 2,5 M (ACERTO DO SOLO NATURAL). AF_08/2020</t>
  </si>
  <si>
    <t>100704</t>
  </si>
  <si>
    <t>PORTA CADEADO ZINCADO OXIDADO PRETO COM CADEADO DE AÇO INOX, LARGURA DE *50* MM. AF_12/2019</t>
  </si>
  <si>
    <t>COMPOSIÇÃO 30</t>
  </si>
  <si>
    <t>COMPOSIÇÃO 29</t>
  </si>
  <si>
    <t>4777</t>
  </si>
  <si>
    <t>CANTONEIRA ACO ABAS IGUAIS (QUALQUER BITOLA), ESPESSURA ENTRE 1/8" E 1/4"</t>
  </si>
  <si>
    <t>1321</t>
  </si>
  <si>
    <t>CHAPA DE ACO FINA A QUENTE BITOLA MSG 13, E = 2,25 MM (18,00 KG/M2)</t>
  </si>
  <si>
    <t>88251</t>
  </si>
  <si>
    <t>88267</t>
  </si>
  <si>
    <t>ENCANADOR OU BOMBEIRO HIDRÁULICO COM ENCARGOS COMPLEMENTARES</t>
  </si>
  <si>
    <t>2,5000000</t>
  </si>
  <si>
    <t>88277</t>
  </si>
  <si>
    <t>MONTADOR (TUBO AÇO/EQUIPAMENTOS) COM ENCARGOS COMPLEMENTARES</t>
  </si>
  <si>
    <t>5,0000000</t>
  </si>
  <si>
    <t>95139</t>
  </si>
  <si>
    <t>TALHA MANUAL DE CORRENTE, CAPACIDADE DE 2 TON. COM ELEVAÇÃO DE 3 M - CHP DIURNO. AF_07/2016</t>
  </si>
  <si>
    <t>BOMBA SUBMERSA PARA POCOS TUBULARES PROFUNDOS DIAMETRO DE 4 POLEGADAS, ELETRICA, TRIFASICA, POTENCIA 1,97 HP, 20 ESTAGIOS, BOCAL DE DESCARGA DIAMETRO DE UMA POLEGADA E MEIA, HM/Q = 18 M / 5,40 M3/H A 164 M / 0,80 M3/H</t>
  </si>
  <si>
    <t>NIPLE DE FERRO GALVANIZADO, COM ROSCA BSP, DE 2 1/2"</t>
  </si>
  <si>
    <t>NIPLE DE FERRO GALVANIZADO, COM ROSCA BSP, DE 3"</t>
  </si>
  <si>
    <t>LUVA DE REDUCAO DE FERRO GALVANIZADO, COM ROSCA BSP, DE 3" X 2 1/2"</t>
  </si>
  <si>
    <t>LUVA DE FERRO GALVANIZADO, COM ROSCA BSP, DE 3"</t>
  </si>
  <si>
    <t>CURVA 90 GRAUS DE FERRO GALVANIZADO, COM ROSCA BSP FEMEA, DE 3"</t>
  </si>
  <si>
    <t>UNIAO DE FERRO GALVANIZADO, COM ROSCA BSP, COM ASSENTO PLANO, DE 3"</t>
  </si>
  <si>
    <t>REGISTRO DE GAVETA BRUTO, LATÃO, ROSCÁVEL, 3" - FORNECIMENTO E INSTALAÇÃO. AF_08/2021</t>
  </si>
  <si>
    <t>VALVULA DE RETENCAO DE BRONZE, PE COM CRIVOS, EXTREMIDADE COM ROSCA, DE 3", PARA FUNDO DE POCO</t>
  </si>
  <si>
    <t>ADAPTADOR, PVC PBA, A BOLSA DEFOFO, JE, DN 75 / DE  85 MM</t>
  </si>
  <si>
    <t>CURVA 45 GRAUS DE FERRO GALVANIZADO, COM ROSCA BSP FEMEA, DE 3"</t>
  </si>
  <si>
    <t>TUBO PVC, ROSCAVEL, 3", AGUA FRIA PREDIAL</t>
  </si>
  <si>
    <t>INSTALACAO DE CONJ.MOTO BOMBA SUBMERSO ATE 5 CV - INCLUSIVE BOMBA E LIGAÇÃO BOMBA - POÇO</t>
  </si>
  <si>
    <t>101876</t>
  </si>
  <si>
    <t>QUADRO DE DISTRIBUIÇÃO DE ENERGIA EM PVC, DE EMBUTIR, SEM BARRAMENTO, PARA 6 DISJUNTORES - FORNECIMENTO E INSTALAÇÃO. AF_10/2020</t>
  </si>
  <si>
    <t>97886</t>
  </si>
  <si>
    <t>CAIXA ENTERRADA ELÉTRICA RETANGULAR, EM ALVENARIA COM TIJOLOS CERÂMICOS MACIÇOS, FUNDO COM BRITA, DIMENSÕES INTERNAS: 0,3X0,3X0,3 M. AF_12/2020</t>
  </si>
  <si>
    <t>101893</t>
  </si>
  <si>
    <t>DISJUNTOR TRIPOLAR TIPO NEMA, CORRENTE NOMINAL DE 10 ATÉ 50A - FORNECIMENTO E INSTALAÇÃO. AF_10/2020</t>
  </si>
  <si>
    <t>TUBO PVC, SERIE R, DN 100 MM, PARA ESGOTO OU AGUAS PLUVIAIS PREDIAIS (NBR 5688)</t>
  </si>
  <si>
    <t>42703</t>
  </si>
  <si>
    <t>TAMPAO COMPLETO PARA TIL, EM PVC, OCRE, DN 100 MM, PARA REDE COLETORA DE ESGOTO</t>
  </si>
  <si>
    <t>CONECTOR DE ALUMINIO TIPO PRENSA CABO, BITOLA 1/2", PARA CABOS DE DIAMETRO DE 12,5 A 15 MM</t>
  </si>
  <si>
    <t>101619</t>
  </si>
  <si>
    <t>PREPARO DE FUNDO DE VALA COM LARGURA MENOR QUE 1,5 M, COM CAMADA DE BRITA, LANÇAMENTO MANUAL. AF_08/2020</t>
  </si>
  <si>
    <t>102085</t>
  </si>
  <si>
    <t>LUMINÁRIA ESTANQUE COM PROTEÇÃO CONTRA ÁGUA, POEIRA OU IMPACTOS - FORNECIMENTO E INSTALAÇÃO. AF_08/2020</t>
  </si>
  <si>
    <t>LÂMPADA COMPACTA DE LED 10 W, BASE E27 - FORNECIMENTO E INSTALAÇÃO. AF_02/2020</t>
  </si>
  <si>
    <t>INFRAESTRUTURA DO ALAMBRADO</t>
  </si>
  <si>
    <t>COLCHÃO DE AREIA</t>
  </si>
  <si>
    <t>ALAMBRADO</t>
  </si>
  <si>
    <t>BRINQUEDOS</t>
  </si>
  <si>
    <t>COT-001</t>
  </si>
  <si>
    <t>CARROSSEL - FORNECIMENTO E INSTALAÇÃO</t>
  </si>
  <si>
    <t>COT-002</t>
  </si>
  <si>
    <t>GANGORRA DUPLA - FORNECIMENTO E INSTALAÇÃO</t>
  </si>
  <si>
    <t>COT-003</t>
  </si>
  <si>
    <t>ESCADA HORIZONTAL FERRO - FORNECIMENTO E INSTALAÇÃO</t>
  </si>
  <si>
    <t>COT-004</t>
  </si>
  <si>
    <t>BALANÇO C/ 3 CADEIRA - BEIJA-FLOR - FORNECIMENTO E INSTALAÇÃO</t>
  </si>
  <si>
    <t>COT-005</t>
  </si>
  <si>
    <t>PLAYGROUND - FORNECIMENTO E INSTALAÇÃO</t>
  </si>
  <si>
    <t>FUNDAÇÃO DOS BRINQUEDOS</t>
  </si>
  <si>
    <t>Volume de escavação dos blocos, considerando 5cm a mais em cada lado</t>
  </si>
  <si>
    <t>Altura Escavada</t>
  </si>
  <si>
    <t>Área de lastro dos blocos</t>
  </si>
  <si>
    <t>Área de forma dos blocos</t>
  </si>
  <si>
    <t>Lagura</t>
  </si>
  <si>
    <t>Volume de concreto dos blocos</t>
  </si>
  <si>
    <t>Volume de escavação</t>
  </si>
  <si>
    <t>Área de alambrado</t>
  </si>
  <si>
    <t>Soma</t>
  </si>
  <si>
    <t>Área de portão</t>
  </si>
  <si>
    <t>Área de pintura</t>
  </si>
  <si>
    <t>Alambrado</t>
  </si>
  <si>
    <t>Portão</t>
  </si>
  <si>
    <t>Escavação da fundação dos brinquedos, considerando mais 0,05m de cada lado</t>
  </si>
  <si>
    <t>Quant. Blocos</t>
  </si>
  <si>
    <t>Carrossel</t>
  </si>
  <si>
    <t>Gangorra dupla</t>
  </si>
  <si>
    <t>Balanço</t>
  </si>
  <si>
    <t>Escada Horizontal</t>
  </si>
  <si>
    <t>Casinha</t>
  </si>
  <si>
    <t>Casinha - escada</t>
  </si>
  <si>
    <t>Casinha - escorregador</t>
  </si>
  <si>
    <t>Volume</t>
  </si>
  <si>
    <t>quant. Brinquedos</t>
  </si>
  <si>
    <t>L =</t>
  </si>
  <si>
    <t>Área de lastro dos brinquedos</t>
  </si>
  <si>
    <t>Unidade</t>
  </si>
  <si>
    <t>Área de forma para os BRINQUEDOS</t>
  </si>
  <si>
    <t>Perimetro</t>
  </si>
  <si>
    <t>Escada horizontal</t>
  </si>
  <si>
    <t>Volume de concreto dos BRINQUEDOS</t>
  </si>
  <si>
    <t>quantidade de brinquedos</t>
  </si>
  <si>
    <t>PLAYGROUND</t>
  </si>
  <si>
    <t>100576</t>
  </si>
  <si>
    <t>REGULARIZAÇÃO E COMPACTAÇÃO DE SUBLEITO DE SOLO  PREDOMINANTEMENTE ARGILOSO. AF_11/2019</t>
  </si>
  <si>
    <t>101618</t>
  </si>
  <si>
    <t>PREPARO DE FUNDO DE VALA COM LARGURA MENOR QUE 1,5 M, COM CAMADA DE AREIA, LANÇAMENTO MANUAL. AF_08/2020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</si>
  <si>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</si>
  <si>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90623</t>
  </si>
  <si>
    <t>Portão tubo/tela arame galv.c/ferragens (incl.pint.anti-corrosiva)</t>
  </si>
  <si>
    <t>PLANTIO DE ÁRVORE ORNAMENTAL COM ALTURA DE MUDA MAIOR QUE 2,00 M E MENOR OU IGUAL A 4,00 M. AF_05/2018</t>
  </si>
  <si>
    <t>PLANTIO DE MUDA  DE ARBUSTO, INCLUINDO TERRA PRETA</t>
  </si>
  <si>
    <t>1,0000000</t>
  </si>
  <si>
    <t>0,1018000</t>
  </si>
  <si>
    <t>0,0255000</t>
  </si>
  <si>
    <t>96535</t>
  </si>
  <si>
    <t>FABRICAÇÃO, MONTAGEM E DESMONTAGEM DE FÔRMA PARA SAPATA, EM MADEIRA SERRADA, E=25 MM, 4 UTILIZAÇÕES. AF_06/2017</t>
  </si>
  <si>
    <t>COMPOSIÇÃO 11</t>
  </si>
  <si>
    <t>COMPOSIÇÃO 15</t>
  </si>
  <si>
    <t>COMPOSIÇÃO 16</t>
  </si>
  <si>
    <t>COMPOSIÇÃO 17</t>
  </si>
  <si>
    <t>COMPOSIÇÃO 18</t>
  </si>
  <si>
    <t>COMPOSIÇÃO 19</t>
  </si>
  <si>
    <t>COMPOSIÇÃO 20</t>
  </si>
  <si>
    <t>COMPOSIÇÃO 21</t>
  </si>
  <si>
    <t>COMPOSIÇÃO 22</t>
  </si>
  <si>
    <t>COMPOSIÇÃO 23</t>
  </si>
  <si>
    <t>COMPOSIÇÃO 24</t>
  </si>
  <si>
    <t>COMPOSIÇÃO 25</t>
  </si>
  <si>
    <t>COMPOSIÇÃO 26</t>
  </si>
  <si>
    <t>COMPOSIÇÃO 27</t>
  </si>
  <si>
    <t>COMPOSIÇÃO 28</t>
  </si>
  <si>
    <t>COMPOSIÇÃO 12</t>
  </si>
  <si>
    <t>COMPOSIÇÃO 13</t>
  </si>
  <si>
    <t>COMPOSIÇÃO 14</t>
  </si>
  <si>
    <t>(CONFORME PLANTA DE AREAS - PROJETO ARQUITETÔNICO)</t>
  </si>
  <si>
    <t>(CONFORME PLANTA DE URBANIZAÇAO - ARQUITETÔNICO)</t>
  </si>
  <si>
    <t>Nome Vulgar</t>
  </si>
  <si>
    <t>Condições (mudas /m²)</t>
  </si>
  <si>
    <t>PLANTAS</t>
  </si>
  <si>
    <t>Moréia</t>
  </si>
  <si>
    <t>Helicônia Choconiana</t>
  </si>
  <si>
    <t>Clusia</t>
  </si>
  <si>
    <t>Capim Texas</t>
  </si>
  <si>
    <t>Mini Alamanda</t>
  </si>
  <si>
    <t>Lixeira em tela moeda</t>
  </si>
  <si>
    <t>PLANILHA ORÇAMENTÁRIA</t>
  </si>
  <si>
    <t>6.4.1</t>
  </si>
  <si>
    <t>6.4.2</t>
  </si>
  <si>
    <t>6.5</t>
  </si>
  <si>
    <t>6.5.1</t>
  </si>
  <si>
    <t>6.5.2</t>
  </si>
  <si>
    <t>Comprimento+0,1</t>
  </si>
  <si>
    <t>DESCONTO (portões)</t>
  </si>
  <si>
    <t>ESCOTILHA DA ENTRADA DA CASA DE BOMBA, FILTRO E CISTERNA</t>
  </si>
  <si>
    <t>COMPOSIÇÃO 3</t>
  </si>
  <si>
    <t xml:space="preserve"> Área conforme demarcação do projeto Arquitetônico</t>
  </si>
  <si>
    <t>Fonte Interativa</t>
  </si>
  <si>
    <t>Pisos em concreto</t>
  </si>
  <si>
    <t>43434</t>
  </si>
  <si>
    <t>CAIXA DE CONCRETO ARMADO PRE-MOLDADO, COM FUNDO E SEM TAMPA, DIMENSOES DE 0,30 X 0,30 X 0,30 M</t>
  </si>
  <si>
    <t>CAIXA ENTERRADA HIDRÁULICA PARA BICOS RETANGULAR, EM CONCRETO PRÉ-MOLDADO, DIMENSÕES INTERNAS: 0,3X0,3X0,3 M, TAMPA EM GRELHA ARTICULADA</t>
  </si>
  <si>
    <t>7.1</t>
  </si>
  <si>
    <t>7.1.1</t>
  </si>
  <si>
    <t>7.1.2</t>
  </si>
  <si>
    <t>7.1.3</t>
  </si>
  <si>
    <t>7.1.4</t>
  </si>
  <si>
    <t>7.2</t>
  </si>
  <si>
    <t>7.2.1</t>
  </si>
  <si>
    <t>7.3</t>
  </si>
  <si>
    <t>7.3.1</t>
  </si>
  <si>
    <t>7.4</t>
  </si>
  <si>
    <t>7.4.1</t>
  </si>
  <si>
    <t>7.4.2</t>
  </si>
  <si>
    <t>7.5</t>
  </si>
  <si>
    <t>7.5.1</t>
  </si>
  <si>
    <t>7.5.2</t>
  </si>
  <si>
    <t>10.1</t>
  </si>
  <si>
    <t>Qtdd p/</t>
  </si>
  <si>
    <t>1pórtico</t>
  </si>
  <si>
    <t>Qtdd de</t>
  </si>
  <si>
    <t>Pórticos</t>
  </si>
  <si>
    <t>CPRB</t>
  </si>
  <si>
    <t>5) Antes da aplicação do BDI (Teto Empresa de Lucros Real ) os insumos constantes do art.3º da Lei nº10.637/02 deverão sofrer redução de 1,65%, após 31/12/2008, reduzir também do insumoo percentual de 7,6% da COFINS conforme art. 3º da Lei nº10.833/03 combinado com o inciso XX do art.10 da mesma Lei.</t>
  </si>
  <si>
    <t>Tipo de Obra: Construção de Praças Urbanas, Rodovias, Ferrovias e recapeamento e pavimentação de vias urbanas</t>
  </si>
  <si>
    <t xml:space="preserve">________________________________________________________                                          </t>
  </si>
  <si>
    <t>30010</t>
  </si>
  <si>
    <t>Escavação manual ate 1.50m de profundidade</t>
  </si>
  <si>
    <t>30011</t>
  </si>
  <si>
    <t>Aterro incluindo carga, descarga, transporte e apiloamento</t>
  </si>
  <si>
    <t>101732</t>
  </si>
  <si>
    <t>PISO EM PEDRA ARDÓSIA ASSENTADO SOBRE ARGAMASSA 1:3 (CIMENTO E AREIA). AF_09/2020</t>
  </si>
  <si>
    <t>BASE DO MONUMENTO, 9,85Mx3,00Mx0,20M, EM CONCRETO, INCLUSIVE TENTO, LASTRO E ATERRO. ACABAMENTO COM PISO EM PEDRA ARDÓSIA - FORNECIMENTO E EXECUÇÃO</t>
  </si>
  <si>
    <t>COTAÇÃO</t>
  </si>
  <si>
    <t>MONUMENTO DE TOURO EM CONCRETO ARMADO</t>
  </si>
  <si>
    <t>FONTE INTERATIVA =</t>
  </si>
  <si>
    <t>COMPOSIÇÃO 5</t>
  </si>
  <si>
    <t>93011</t>
  </si>
  <si>
    <t>170615</t>
  </si>
  <si>
    <t>170322</t>
  </si>
  <si>
    <t>180678</t>
  </si>
  <si>
    <t>170415</t>
  </si>
  <si>
    <t>ELETRODUTO FLEXÍVEL CORRUGADO, PVC, DN 25 MM (3/4"), PARA CIRCUITOS TERMINAIS, INSTALADO EM LAJE -FORNECIMENTO E INSTALAÇÃO. AF_12/2015</t>
  </si>
  <si>
    <t>ELETRODUTO FLEXÍVEL CORRUGADO, PEAD, DN 40 MM (1 1/4"), PARA CIRCUITOS TERMINAIS, INSTALADO EM PAREDE - FORNECIMENTO E INSTALAÇÃO. AF_12/2015</t>
  </si>
  <si>
    <t xml:space="preserve"> ELETRODUTO RÍGIDO ROSCÁVEL, PVC, DN 85 MM (3") - FORNECIMENTO E INSTALAÇÃO. AF_12/2015</t>
  </si>
  <si>
    <t>CABO DE COBRE FLEXÍVEL ISOLADO, 2,5 MM², ANTI-CHAMA 0,6/1,0 KV, PARA CIRCUITOS TERMINAIS - FORNECIMENTO E INSTALAÇÃO. AF_12/2015</t>
  </si>
  <si>
    <t>CABO DE COBRE FLEXÍVEL ISOLADO, 4 MM², ANTI-CHAMA 0,6/1,0 KV, PARA CIRCUITOS TERMINAIS - FORNECIMENTO E INSTALAÇÃO. AF12/2015</t>
  </si>
  <si>
    <t>CABO DE COBRE FLEXÍVEL ISOLADO, 16 MM², ANTI-CHAMA 0,6/1,0 KV, PARA CIRCUITOS TERMINAIS - FORNECIMENTO E INSTALAÇÃO. AF_12/2015</t>
  </si>
  <si>
    <t>QUADRO DE MEDIÇÃO GERAL DE ENERGIA COM 8 MEDIDORES - FORNECIMENTO E INSTALAÇÃO. AF_10/2020</t>
  </si>
  <si>
    <t>Quadro de mediçao trifasico (c/ disjuntor)</t>
  </si>
  <si>
    <t>Centro de distribuiçao p/ 24 disjuntores (c/ barramento)</t>
  </si>
  <si>
    <t>DISJUNTOR MONOPOLAR TIPO DIN, CORRENTE NOMINAL DE 16A - FORNECIMENTO E INSTALAÇÃO. AF_10/2020</t>
  </si>
  <si>
    <t>DISJUNTOR BIPOLAR TIPO DIN, CORRENTE NOMINAL DE 16A - FORNECIMENTO E INSTALAÇÃO. AF_10/2020</t>
  </si>
  <si>
    <t>DISJUNTOR BIPOLAR TIPO DIN, CORRENTE NOMINAL DE 50A - FORNECIMENTO E INSTALAÇÃO. AF_10/2020</t>
  </si>
  <si>
    <t>DISJUNTOR TRIPOLAR TIPO NEMA, CORRENTE NOMINAL DE 60 ATÉ 100A - FORNECIMENTO E INSTALAÇÃO. AF_10/2020</t>
  </si>
  <si>
    <t>Caixa em alvenaria de 60x60x60cm c/ tpo. concreto</t>
  </si>
  <si>
    <t xml:space="preserve">
Mureta de mediçao em alv.c/laje em conc.(c=2.20/l=0.50/h=2.0m
</t>
  </si>
  <si>
    <t xml:space="preserve">
CAIXA DE INSPEÇÃO PARA ATERRAMENTO, CIRCULAR, EM POLIETILENO, DIÂMETRO INTERNO = 0,3 M. AF_12/2020
</t>
  </si>
  <si>
    <t>HASTE DE ATERRAMENTO 5/8 PARA SPDA - FORNECIMENTO E INSTALAÇÃO. AF_12 UN CR /2017</t>
  </si>
  <si>
    <t>CORDOALHA DE COBRE NU 50 MM², NÃO ENTERRADA, COM ISOLADOR - FORNECIMENTO E INSTALAÇÃO. AF_12/2017</t>
  </si>
  <si>
    <t>POSTE CONICO CONTINUO EM ACO GALVANIZADO, RETO, FLANGEADO, H = 5 M, DIAMETRO INFERIOR = *125* MM COM LUMINARIA DE LED PARA ILUMINACAO PUBLICA, DE 120 W, INVOLUCRO EM ALUMINIO OU ACO INOX, (DECORATIVA )  - FORNECIMENTO E INSTALAÇÃO</t>
  </si>
  <si>
    <t>FONTE</t>
  </si>
  <si>
    <t>UND.</t>
  </si>
  <si>
    <t>VALOR UNITÁRIO</t>
  </si>
  <si>
    <t xml:space="preserve">LUMINARIA DE LED PARA ILUMINACAO PUBLICA, DE 68 W ATE 97 W, INVOLUCRO EM ALUMINIO OU ACO INOX, (DECORATIVA  DE 80W) </t>
  </si>
  <si>
    <t>RELÉ FOTOELÉTRICO PARA COMANDO DE ILUMINAÇÃO EXTERNA 1000 W - FORNECIM UN CR 
ENTO E INSTALAÇÃO. AF_08/2020</t>
  </si>
  <si>
    <t xml:space="preserve"> ELETRODUTO FLEXÍVEL CORRUGADO REFORÇADO, PVC, DN 25 MM (3/4"), PARA CIRCUITOS TERMINAIS, INSTALADO EM FORRO - FORNECIMENTO E INSTALAÇÃO. AF_12/2015</t>
  </si>
  <si>
    <t>POSTE CONICO CONTINUO EM ACO GALVANIZADO, RETO, ENGASTADO, H = 7 M, DIAMETRO INFERIOR = *125* MM</t>
  </si>
  <si>
    <t>CABO DE COBRE NU 35 MM2 MEIO-DURO</t>
  </si>
  <si>
    <t xml:space="preserve">AUXILIAR DE ELETRICISTA COM ENCARGOS COMPLEMENTARES </t>
  </si>
  <si>
    <t xml:space="preserve">ELETRICISTA COM ENCARGOS COMPLEMENTARES </t>
  </si>
  <si>
    <t>HASTE DE ATERRAMENTO 5/8 PARA SPDA - FORNECIMENTO E INSTALAÇÃO. AF_12 /2017</t>
  </si>
  <si>
    <t>CAIXA DE INSPEÇÃO PARA ATERRAMENTO, CIRCULAR, EM POLIETILENO, DIÂMETRO INTERNO = 0,3 M. AF_12/2020</t>
  </si>
  <si>
    <t>FABRICAÇÃO, MONTAGEM E DESMONTAGEM DE FÔRMA PARA SAPATA, EM CHAPA DE MADEIRA COMPENSADA RESINADA, E=17 MM, 4 UTILIZAÇÕES. AF_06/2017</t>
  </si>
  <si>
    <t>Refletor Anel Luz RGB 9W</t>
  </si>
  <si>
    <t>COT-009</t>
  </si>
  <si>
    <t>FORNECIMENTO E INSTALACAO DE FILTRO FM-36 5,0 m³h</t>
  </si>
  <si>
    <t>FILTRO FM-36 5,0 m³h</t>
  </si>
  <si>
    <t>FORNECIMENTO E INSTALACAO DE BICOS PARA FONTE TIPO COROA 1", INCLUSO REFLETOR ANEL LUZ RGB 9W</t>
  </si>
  <si>
    <t>COT-010</t>
  </si>
  <si>
    <t>2.1</t>
  </si>
  <si>
    <t>2.2</t>
  </si>
  <si>
    <t>2.3</t>
  </si>
  <si>
    <t>3.1</t>
  </si>
  <si>
    <t>3.2</t>
  </si>
  <si>
    <t>3.3</t>
  </si>
  <si>
    <t>Rampa Tipo 1 =</t>
  </si>
  <si>
    <t>4,91x4</t>
  </si>
  <si>
    <t>Rampa Tipo 2 =</t>
  </si>
  <si>
    <t>11,09x3</t>
  </si>
  <si>
    <t xml:space="preserve">Fonte Interativa com canaleta = </t>
  </si>
  <si>
    <t>Grama 1 =</t>
  </si>
  <si>
    <t>Grama 2 =</t>
  </si>
  <si>
    <t>Grama 3 =</t>
  </si>
  <si>
    <t>Grama 4 =</t>
  </si>
  <si>
    <t>Grama 5=</t>
  </si>
  <si>
    <t>Grama 6 =</t>
  </si>
  <si>
    <t>Grama 7 =</t>
  </si>
  <si>
    <t>CALÇADAS: PISO EM CONCRETO</t>
  </si>
  <si>
    <t xml:space="preserve">EXECUÇÃO DE PÁTIO/ESTACIONAMENTO EM PISO INTERTRAVADO, COM BLOCO RETANGULAR COR NATURAL DE 20 X 10 CM, ESPESSURA 6 CM. AF_12/2015 </t>
  </si>
  <si>
    <t>92397</t>
  </si>
  <si>
    <t>102500</t>
  </si>
  <si>
    <t>PINTURA DE DEMARCAÇÃO DE VAGA COM TINTA ACRÍLICA, E = 10 CM, APLICAÇÃO MANUAL. AF_05/2021</t>
  </si>
  <si>
    <t xml:space="preserve">PEDREIRO COM ENCARGOS COMPLEMENTARES </t>
  </si>
  <si>
    <t>EXECUÇÃO DE SARJETÃO DE CONCRETO USINADO, MOLDADA IN LOCO EM TRECHO RETO, 60 CM BASE X 20 CM ALTURA.</t>
  </si>
  <si>
    <t xml:space="preserve">SERVENTE COM ENCARGOS COMPLEMENTARES </t>
  </si>
  <si>
    <t xml:space="preserve">AREIA MEDIA - POSTO JAZIDA/FORNECEDOR (RETIRADO NA JAZIDA, SEM TRANSPORTE) </t>
  </si>
  <si>
    <t xml:space="preserve">SARRAFO *2,5 X 7,5* CM EM PINUS, MISTA OU EQUIVALENTE DA REGIAO - BRUTA </t>
  </si>
  <si>
    <t xml:space="preserve">TABUA NAO APARELHADA *2,5 X 30* CM, EM MACARANDUBA, ANGELIM OU EQUIVALENTE DA REGIAO - BRUTA </t>
  </si>
  <si>
    <t xml:space="preserve">CONCRETO USINADO BOMBEAVEL, CLASSE DE RESISTENCIA C20, COM BRITA 0 E 1, SLUMP = 100 +/- 20 MM, EXCLUI SERVICO DE BOMBEAMENTO (NBR 8953) </t>
  </si>
  <si>
    <t>34492</t>
  </si>
  <si>
    <t>370</t>
  </si>
  <si>
    <t>7348</t>
  </si>
  <si>
    <t>12815</t>
  </si>
  <si>
    <t>88310</t>
  </si>
  <si>
    <t>TINTA ACRILICA PREMIUM PARA PISO</t>
  </si>
  <si>
    <t>FITA CREPE ROLO DE 25 MM X 50 M</t>
  </si>
  <si>
    <t>PINTURA DE DEMARCAÇÃO PARA VAGA PREFERENCIAL PARA IDOSO COM TINTA ACRÍLICA, APLICADA MANUALMENTE.</t>
  </si>
  <si>
    <t>PINTURA DE DEMARCAÇÃO PARA VAGA PREFERENCIAL PARA CADEIRANTE COM TINTA ACRÍLICA, APLICADA MANUALMENTE.</t>
  </si>
  <si>
    <t>L</t>
  </si>
  <si>
    <t>Município/UF:</t>
  </si>
  <si>
    <t>Objeto:</t>
  </si>
  <si>
    <t>Local:</t>
  </si>
  <si>
    <t>BRASIL NOVO/PA</t>
  </si>
  <si>
    <t xml:space="preserve">Prazo:    </t>
  </si>
  <si>
    <t>Data:</t>
  </si>
  <si>
    <t xml:space="preserve">Valor:  </t>
  </si>
  <si>
    <t xml:space="preserve">MEMÓRIA DE CÁLCULO 1 </t>
  </si>
  <si>
    <t>MEMÓRIA DE CÁLCULO 2</t>
  </si>
  <si>
    <t>SERVIÇOS PRELIMINARES</t>
  </si>
  <si>
    <t>MEMÓRIA DE CÁLCULO 3</t>
  </si>
  <si>
    <t>MEMÓRIA DE CÁLCULO 4</t>
  </si>
  <si>
    <t>MEMÓRIA DE CÁLCULO 5</t>
  </si>
  <si>
    <t>MEMÓRIA DE CÁLCULO 6</t>
  </si>
  <si>
    <t>MEMÓRIA DE CÁLCULO 7</t>
  </si>
  <si>
    <t>MEMÓRIA DE CÁLCULO 10</t>
  </si>
  <si>
    <t>MEMÓRIA DE CÁLCULO 9</t>
  </si>
  <si>
    <t>ADMINISTRAÇÃO DE OBRA</t>
  </si>
  <si>
    <t>Estacionamento 1=</t>
  </si>
  <si>
    <t>Estacionamento 2=</t>
  </si>
  <si>
    <t>Estacionamento 3=</t>
  </si>
  <si>
    <t>Áreas de Limpeza</t>
  </si>
  <si>
    <t>Área x Quant.</t>
  </si>
  <si>
    <t>RAMPAS DE ACESSIBILIDADE TIPO 1 =</t>
  </si>
  <si>
    <t>RAMPAS DE ACESSIBILIDADE TIPO 2 =</t>
  </si>
  <si>
    <t>Canteiro 1</t>
  </si>
  <si>
    <t>Canteiro 2</t>
  </si>
  <si>
    <t>Canteiro 3</t>
  </si>
  <si>
    <t>Canteiro 4</t>
  </si>
  <si>
    <t>Canteiro existente</t>
  </si>
  <si>
    <t>6,98+3,53+13,5+22,15+16,12+22,68+9,26+17,75+13,5+12,58+22,69+12,49+13,5+18,17+15,33+13,31+30,44</t>
  </si>
  <si>
    <t>Total do desconto</t>
  </si>
  <si>
    <t>Comprimento do Meio Fio</t>
  </si>
  <si>
    <t>Comprimento Total do Meio Fio</t>
  </si>
  <si>
    <t>Desconto dos pilares dos bancos</t>
  </si>
  <si>
    <t>Áreas de Dos Estacionamentos</t>
  </si>
  <si>
    <t>A. total=</t>
  </si>
  <si>
    <t>MEIO - FIO E SARJETAS</t>
  </si>
  <si>
    <t>6,44+5,75+23,76+5,74+6,38</t>
  </si>
  <si>
    <t>6,41+5,7+23,76+5,74+6,36</t>
  </si>
  <si>
    <t>6,43+5,75+23,76+5,72+6,38</t>
  </si>
  <si>
    <t>58,15+1,18+2,75+2,75+1,18</t>
  </si>
  <si>
    <t>57,7+1,18+2,75+2,75+1,18</t>
  </si>
  <si>
    <t>Sarjetão Estacionamento 1</t>
  </si>
  <si>
    <t>Sarjetão Estacionamento 2</t>
  </si>
  <si>
    <t>Sarjetão Estacionamento 3</t>
  </si>
  <si>
    <t>Estacionamento 1</t>
  </si>
  <si>
    <t>Estacionamento 2</t>
  </si>
  <si>
    <t>Estacionamento 3</t>
  </si>
  <si>
    <t>6,36+23,77+6,39</t>
  </si>
  <si>
    <t>1,18+1,18+1,13+1,18</t>
  </si>
  <si>
    <t>Rampa</t>
  </si>
  <si>
    <t>Desconto das rampas</t>
  </si>
  <si>
    <t>6,34+23,77+6,39</t>
  </si>
  <si>
    <t>6,34+23,76+6,39</t>
  </si>
  <si>
    <t>AVENIDA TRANSAMAZÔNICA S/N, BRASIL NOVO/PA</t>
  </si>
  <si>
    <t>Local</t>
  </si>
  <si>
    <t>Total (m)</t>
  </si>
  <si>
    <t>101894</t>
  </si>
  <si>
    <t>Total (unid)</t>
  </si>
  <si>
    <t>Vaga 15</t>
  </si>
  <si>
    <t>Vaga 16</t>
  </si>
  <si>
    <t>Vagas de 1 à 8</t>
  </si>
  <si>
    <t>Vagas de 9 à 16</t>
  </si>
  <si>
    <t>Vagas de 17 à 24</t>
  </si>
  <si>
    <t xml:space="preserve">LASTRO DE CONCRETO MAGRO, APLICADO EM BLOCOS DE COROAMENTO OU SAPATAS, ESPESSURA DE 3 CM. AF_08/2017 </t>
  </si>
  <si>
    <t>total/m²</t>
  </si>
  <si>
    <t>6.4.3</t>
  </si>
  <si>
    <t>6.4.4</t>
  </si>
  <si>
    <t>6.4.5</t>
  </si>
  <si>
    <t>9.1.1</t>
  </si>
  <si>
    <t>9.1.2</t>
  </si>
  <si>
    <t>9.1.3</t>
  </si>
  <si>
    <t>9.1.4</t>
  </si>
  <si>
    <t>9.2.1</t>
  </si>
  <si>
    <t>9.3.1</t>
  </si>
  <si>
    <t>9.3.2</t>
  </si>
  <si>
    <t>9.4.1</t>
  </si>
  <si>
    <t>9.4.2</t>
  </si>
  <si>
    <t>9.5.1</t>
  </si>
  <si>
    <t>9.5.2</t>
  </si>
  <si>
    <t xml:space="preserve">MOTOBOMBA AUTOESCORVANTE MOTOR ELETRICO TRIFASICO 7,4HP BOCA DIAMETRO DE SUCCAO X RECLAQUE: 2"X2", HM/ Q = 10 M / 73,5 M3/H A 28 M / 8,2 M3 /H  </t>
  </si>
  <si>
    <t xml:space="preserve">FORNECIMENTO E INTALAÇÃO DE MOTOBOMBA AUTOESCORVANTE MOTOR ELETRICO TRIFASICO 7,4HP BOCA DIAMETRO DE SUCCAO X RECLAQUE: 2"X2", HM/ Q = 10 M / 73,5 M3/H A 28 M / 8,2 M3 /H  </t>
  </si>
  <si>
    <t>Calçadas</t>
  </si>
  <si>
    <t>Estacionamentos</t>
  </si>
  <si>
    <t>Rampas</t>
  </si>
  <si>
    <t>FORNECIMENTO E INSTALACAO DE SEMIESFERICO, 75 MM</t>
  </si>
  <si>
    <t>88248</t>
  </si>
  <si>
    <t xml:space="preserve">AUXILIAR DE ENCANADOR OU BOMBEIRO HIDRÁULICO COM ENCARGOS COMPLEMENTARES </t>
  </si>
  <si>
    <t xml:space="preserve">ENCANADOR OU BOMBEIRO HIDRÁULICO COM ENCARGOS COMPLEMENTARES </t>
  </si>
  <si>
    <t xml:space="preserve">ARGAMASSA TRAÇO 1:3 (EM VOLUME DE CIMENTO E AREIA MÉDIA ÚMIDA), PREPARO MANUAL. AF_08/2019 </t>
  </si>
  <si>
    <t>88629</t>
  </si>
  <si>
    <t>10767</t>
  </si>
  <si>
    <t xml:space="preserve">SARRAFO NAO APARELHADO *2,5 X 10* CM, EM MACARANDUBA, ANGELIM OU EQUIVALENTE DA REGIAO - BRUTA </t>
  </si>
  <si>
    <t>4460</t>
  </si>
  <si>
    <t>FORNECIMENTO INSTALAÇÃO DE MONUMENTO DE TOURO EM CONCRETO ARMADO</t>
  </si>
  <si>
    <t>Plantio de grama (incl. terra preta)</t>
  </si>
  <si>
    <t xml:space="preserve">GRAMA 4 = </t>
  </si>
  <si>
    <t xml:space="preserve">GRAMA 5 = </t>
  </si>
  <si>
    <t xml:space="preserve">GRAMA 6 = </t>
  </si>
  <si>
    <t xml:space="preserve">GRAMA 7 = </t>
  </si>
  <si>
    <t>EXECUÇÃO DE PASSEIO OU PISO DE CONCRETO, MOLDADO IN LOCO, FEITO EM OBRA, ACABAMENTO COM PINTURA EM TINTA ACRÍLICA (COLORIDO) PARA PISOS (2 DEMÃOS), ESPESSURA 6 CM - JUNTA DE DILATAÇÃO PLÁSTICA - FORNECIMENTO E EXECUÇÃO</t>
  </si>
  <si>
    <t>92514</t>
  </si>
  <si>
    <t xml:space="preserve">MONTAGEM E DESMONTAGEM DE FÔRMA DE LAJE MACIÇA, PÉ-DIREITO SIMPLES, EM CHAPA DE MADEIRA COMPENSADA RESINADA, 4 UTILIZAÇÕES. AF_09/2020	</t>
  </si>
  <si>
    <t xml:space="preserve">Barracão de madeira (incl. instalações)	</t>
  </si>
  <si>
    <t>4.1.1</t>
  </si>
  <si>
    <t>4.1.2</t>
  </si>
  <si>
    <t>4.2</t>
  </si>
  <si>
    <t>4.2.1</t>
  </si>
  <si>
    <t>4.2.2</t>
  </si>
  <si>
    <t>4.2.3</t>
  </si>
  <si>
    <t>4.2.4</t>
  </si>
  <si>
    <t>4.3.1</t>
  </si>
  <si>
    <t>4.3.2</t>
  </si>
  <si>
    <t>4.3.3</t>
  </si>
  <si>
    <t>4.3.4</t>
  </si>
  <si>
    <t>5.4</t>
  </si>
  <si>
    <t>5.4.1</t>
  </si>
  <si>
    <t>5.4.2</t>
  </si>
  <si>
    <t>5.4.3</t>
  </si>
  <si>
    <t>5.4.4</t>
  </si>
  <si>
    <t>5.4.5</t>
  </si>
  <si>
    <t>5.5</t>
  </si>
  <si>
    <t>5.5.1</t>
  </si>
  <si>
    <t>5.5.2</t>
  </si>
  <si>
    <t>6.1.1</t>
  </si>
  <si>
    <t>6.1.2</t>
  </si>
  <si>
    <t>6.1.3</t>
  </si>
  <si>
    <t>6.1.4</t>
  </si>
  <si>
    <t>6.2.1</t>
  </si>
  <si>
    <t>6.2.2</t>
  </si>
  <si>
    <t>6.2.3</t>
  </si>
  <si>
    <t>6.5.3</t>
  </si>
  <si>
    <t>6.5.4</t>
  </si>
  <si>
    <t>6.5.5</t>
  </si>
  <si>
    <t>7.1.1.1</t>
  </si>
  <si>
    <t>7.1.1.2</t>
  </si>
  <si>
    <t>7.1.1.3</t>
  </si>
  <si>
    <t>7.1.1.4</t>
  </si>
  <si>
    <t>7.1.1.5</t>
  </si>
  <si>
    <t>7.1.1.6</t>
  </si>
  <si>
    <t>7.1.1.7</t>
  </si>
  <si>
    <t>7.1.1.8</t>
  </si>
  <si>
    <t>7.1.2.1</t>
  </si>
  <si>
    <t>7.1.2.2</t>
  </si>
  <si>
    <t>7.1.2.3</t>
  </si>
  <si>
    <t>7.1.2.4</t>
  </si>
  <si>
    <t>7.1.3.1</t>
  </si>
  <si>
    <t>7.1.3.2</t>
  </si>
  <si>
    <t>7.1.4.1</t>
  </si>
  <si>
    <t>7.1.4.2</t>
  </si>
  <si>
    <t>7.1.4.3</t>
  </si>
  <si>
    <t>7.3.1.1</t>
  </si>
  <si>
    <t>7.3.1.2</t>
  </si>
  <si>
    <t>7.4.3</t>
  </si>
  <si>
    <t>7.4.4</t>
  </si>
  <si>
    <t>7.4.5</t>
  </si>
  <si>
    <t>7.4.6</t>
  </si>
  <si>
    <t>7.4.7</t>
  </si>
  <si>
    <t>7.4.8</t>
  </si>
  <si>
    <t>7.4.9</t>
  </si>
  <si>
    <t>7.4.10</t>
  </si>
  <si>
    <t>7.4.11</t>
  </si>
  <si>
    <t>7.4.12</t>
  </si>
  <si>
    <t>7.4.13</t>
  </si>
  <si>
    <t>7.4.14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</si>
  <si>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</si>
  <si>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</si>
  <si>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</si>
  <si>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</si>
  <si>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</si>
  <si>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</si>
  <si>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</si>
  <si>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</si>
  <si>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</si>
  <si>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</si>
  <si>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</si>
  <si>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</si>
  <si>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</si>
  <si>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</si>
  <si>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9.1.5</t>
  </si>
  <si>
    <t>9.1.6</t>
  </si>
  <si>
    <t>9.2.2</t>
  </si>
  <si>
    <t>9.3.3</t>
  </si>
  <si>
    <t>9.3.4</t>
  </si>
  <si>
    <t>9.5.3</t>
  </si>
  <si>
    <t>9.5.4</t>
  </si>
  <si>
    <t/>
  </si>
  <si>
    <t>4.2.5</t>
  </si>
  <si>
    <t>6.3.1</t>
  </si>
  <si>
    <t>6.3.2</t>
  </si>
  <si>
    <t>6.3.3</t>
  </si>
  <si>
    <t>MONTAGEM E DESMONTAGEM DE FÔRMA DE LAJE MACIÇA, PÉ-DIREITO SIMPLES, EM CHAPA DE MADEIRA COMPENSADA RESINADA, 4 UTILIZAÇÕES. AF_09/2020</t>
  </si>
  <si>
    <t>CONSTRUÇÃO DE PRAÇA NO MUNICÍPIO DE BRASIL NOVO - PARÁ</t>
  </si>
  <si>
    <t>10004</t>
  </si>
  <si>
    <t>LOCACAO CONVENCIONAL DE OBRA, UTILIZANDO GABARITO DE TÁBUAS CORRIDAS PONTALETADAS A CADA 2,00M - 2 UTILIZAÇÕES. AF_10/2018</t>
  </si>
  <si>
    <t>99059</t>
  </si>
  <si>
    <t>TUBO, PVC, SOLDÁVEL, DN 25MM, INSTALADO EM PRUMADA DE ÁGUA - FORNECIMENTO E INSTALAÇÃO. AF_12/2014</t>
  </si>
  <si>
    <t>Joelho/Cotovelo de redução 90° PVC JS - 32mm x 25mm (LH)</t>
  </si>
  <si>
    <t>CURVA 45 GRAUS, PVC, SOLDÁVEL, DN 40MM, INSTALADO EM PRUMADA DE ÁGUA - FORNECIMENTO E INSTALAÇÃO. AF_12/2014</t>
  </si>
  <si>
    <t>CURVA 90 GRAUS, PVC, SOLDÁVEL, DN 25MM, INSTALADO EM PRUMADA DE ÁGUA - FORNECIMENTO E INSTALAÇÃO. AF_12/2014</t>
  </si>
  <si>
    <t>JOELHO 90 GRAUS COM BUCHA DE LATÃO, PVC, SOLDÁVEL, DN 25MM, X 3/4 INSTALADO EM RAMAL OU SUB-RAMAL DE ÁGUA - FORNECIMENTO E INSTALAÇÃO. AF_12/2014</t>
  </si>
  <si>
    <t>TÊ DE REDUÇÃO, PVC, SOLDÁVEL, DN 32MM X 25MM, INSTALADO EM PRUMADA DE ÁGUA - FORNECIMENTO E INSTALAÇÃO. AF_12/2014</t>
  </si>
  <si>
    <t>TÊ DE REDUÇÃO, PVC, SOLDÁVEL, DN 40MM X 32MM, INSTALADO EM PRUMADA DE ÁGUA - FORNECIMENTO E INSTALAÇÃO. AF_12/2014</t>
  </si>
  <si>
    <t>BUCHA DE REDUÇÃO, PVC, SOLDÁVEL, DN 40MM X 32MM, INSTALADO EM RAMAL OU SUB-RAMAL DE ÁGUA - FORNECIMENTO E INSTALAÇÃO. AF_03/2015</t>
  </si>
  <si>
    <t>Bucha de redução JS - 32mm x 25mm (LH)</t>
  </si>
  <si>
    <t>CAIXA ENTERRADA HIDRÁULICA RETANGULAR, EM CONCRETO PRÉ-MOLDADO, DIMENSÕES INTERNAS: 0,3X0,3X0,3 M. AF_12/2020</t>
  </si>
  <si>
    <t>Comp. Total =</t>
  </si>
  <si>
    <t>Quantidade =</t>
  </si>
  <si>
    <t>ADMINISTRAÇÃO LOCAL DE OBRA, INCLUSO ENGENHEIRO CIVIL E ENCARREGADO GERAL COM ENCARGOS COMPLEMENTARES</t>
  </si>
  <si>
    <t>PLACA DA OBRA EM CHAPA GALVANIZADA</t>
  </si>
  <si>
    <t>SEDOP FEVEREIRO 2022 - DESONERADA</t>
  </si>
  <si>
    <t>91844</t>
  </si>
  <si>
    <t>91860</t>
  </si>
  <si>
    <t>91927</t>
  </si>
  <si>
    <t>91929</t>
  </si>
  <si>
    <t>91935</t>
  </si>
  <si>
    <t>97359</t>
  </si>
  <si>
    <t>93654</t>
  </si>
  <si>
    <t>93661</t>
  </si>
  <si>
    <t>93666</t>
  </si>
  <si>
    <t>96974</t>
  </si>
  <si>
    <t>7.3.1.3</t>
  </si>
  <si>
    <t>7.3.1.4</t>
  </si>
  <si>
    <t>7.3.1.5</t>
  </si>
  <si>
    <t>7.3.1.6</t>
  </si>
  <si>
    <t>7.3.1.7</t>
  </si>
  <si>
    <t>7.3.1.8</t>
  </si>
  <si>
    <t>7.3.1.9</t>
  </si>
  <si>
    <t>7.3.1.10</t>
  </si>
  <si>
    <t>7.3.1.11</t>
  </si>
  <si>
    <t>7.3.1.12</t>
  </si>
  <si>
    <t>7.3.1.13</t>
  </si>
  <si>
    <t>7.3.1.14</t>
  </si>
  <si>
    <t>7.3.1.15</t>
  </si>
  <si>
    <t>7.3.1.16</t>
  </si>
  <si>
    <t>7.3.1.17</t>
  </si>
  <si>
    <t>CASA DE BOMBA, CISTERNA E CASA DO FILTRO</t>
  </si>
  <si>
    <t>BANCO ARQUEADO TIPO A -  EM CONCRETO ARMADO 20MPA, 13,50M DE COMPRIMENTO, LARGURA 0,50 DE ASSENTO, ALTURA 0,45 DO PISO. FUNDAÇÃO EM CONCRETO CICLÓPICO - FORNECIMENTO E EXECUÇÃO</t>
  </si>
  <si>
    <t>BANCO ARQUEADO TIPO B - EM CONCRETO ARMADO 20MPA, 22,85M DE COMPRIMENTO, LARGURA 0,50 DE ASSENTO, ALTURA 0,45 DO PISO. FUNDAÇÃO EM CONCRETO CICLÓPICO - FORNECIMENTO E EXECUÇÃO</t>
  </si>
  <si>
    <t xml:space="preserve">GRAMA TOTAL = </t>
  </si>
  <si>
    <t>Desconto de Mudas</t>
  </si>
  <si>
    <t>Área ocupada por mudas</t>
  </si>
  <si>
    <t>06 meses</t>
  </si>
  <si>
    <t>99811</t>
  </si>
  <si>
    <t>LIMPEZA DE CONTRAPISO COM VASSOURA A SECO. AF_04/2019</t>
  </si>
  <si>
    <t>Área Total (m²)</t>
  </si>
  <si>
    <t>Área de Demolição de Calçada</t>
  </si>
  <si>
    <t>Total (m²)</t>
  </si>
  <si>
    <t>Total (m³)</t>
  </si>
  <si>
    <t>94274</t>
  </si>
  <si>
    <t>94273</t>
  </si>
  <si>
    <t>ASSENTAMENTO DE GUIA (MEIO-FIO) EM TRECHO RETO, CONFECCIONADA EM CONCRETO PRÉ-FABRICADO, DIMENSÕES 100X15X13X30 CM (COMPRIMENTO X BASE INFERIOR X BASE SUPERIOR X ALTURA), PARA VIAS URBANAS (USO VIÁRIO). AF_06/2016</t>
  </si>
  <si>
    <t>OBS: Todos os quantitativos estão presentes nas Platas ARQ 07/09 e 08/09</t>
  </si>
  <si>
    <t>Fonte: NBR 14350-1. Segurança de brinquedos e playground. Parte 1: Requisitos e métodos de ensaio.</t>
  </si>
  <si>
    <t>A fundação dos brinquedos elencados no projeto, foram dimensionadas de acordo com a intensidade das atividades geradas mediante sua utilização. Estas, visam proporcionar lazer com segurança para os usuários.</t>
  </si>
  <si>
    <t>unidades</t>
  </si>
  <si>
    <t>SINAPI FEVEREIRO 2022 - DESONERADA</t>
  </si>
  <si>
    <t>103670</t>
  </si>
  <si>
    <t>LANÇAMENTO COM USO DE BALDES, ADENSAMENTO E ACABAMENTO DE CONCRETO EM ESTRUTURAS. AF_02/2022</t>
  </si>
  <si>
    <t>2.4</t>
  </si>
  <si>
    <t>10000</t>
  </si>
  <si>
    <t>Licenças e taxas da obra (acima de 500m2)</t>
  </si>
  <si>
    <t>CJ</t>
  </si>
  <si>
    <t>260523</t>
  </si>
  <si>
    <t>MEIO-FIO EM CONCRETO NAS DIMENSÕES 0,30M X 0,12M COM LÂMINA D'ÁGUA</t>
  </si>
  <si>
    <t>50,17+37,85+40,48+40,65+12,58</t>
  </si>
  <si>
    <t>Para o tipo de obra "CONSTRUÇÃO DE RODOVIAS E FERROVIAS" enquadram-se: a construção e recuperação de: autoestradas, rodovias e outras vias não-urbanas para passagem de veículos, vias férreas de superfície ou subterrâneas (inclusive para metropolitanos), pistas de aeroportos. Esta classe compreende também: a pavimentação de autoestradas, rodovias e outras vias não-urbanas; construção de pontes, viadutos e túneis; a instalação de barreiras acústicas; a construção de praças de pedágio; a sinalização com pintura em rodovias e aeroportos; a instalação de placas de sinalização de tráfego e semelhantes, conforme classificação 4211-1 do CNAE 2.0. Também enquadram-se a construção, pavimentação e sinalização de vias urbanas, ruas e locais para estacionamento de veículos; a construção de praças e calçadas para pedestres; elevados, passarelas e ciclovias; metrô e VLT. Além de quadras descobertas.</t>
  </si>
  <si>
    <t>4.2.6</t>
  </si>
  <si>
    <t>ESTACIONAMENTO: PISO INTERTRAVADO E SINALIZAÇÃO</t>
  </si>
  <si>
    <t>PLACA DE SINALIZACAO EM CHAPA DE ACO NUM 16 COM PINTURA REFLETIVA</t>
  </si>
  <si>
    <t>LASTRO DE CONCRETO MAGRO, APLICADO EM PISOS, LAJES SOBRE SOLO OU RADIERS, ESPESSURA DE 5 CM. AF_07/2016</t>
  </si>
  <si>
    <t>TUBO ACO GALVANIZADO COM COSTURA, CLASSE LEVE, DN 50 MM ( 2"),  E = 3,00 MM,  *4,40* KG/M (NBR 5580)</t>
  </si>
  <si>
    <t>PARAFUSO FRANCES ZINCADO, DIAMETRO 1/2'', COMPRIMENTO 2'', COM PORCA E ARRUELA</t>
  </si>
  <si>
    <t>CAP PVC, SOLDAVEL, 50 MM, PARA AGUA FRIA PREDIAL</t>
  </si>
  <si>
    <t xml:space="preserve">M2    </t>
  </si>
  <si>
    <t>PLACA DE SINALIZACAO EM CHAPA DE ACO NUM 16 COM PINTURA REFLETIVA PARA SINALIZAÇÃO DE VAGAS PREFERENCIAIS, INCLUSO FUNDAÇÃO EM CONCRETO CICLÓPICO. FORNECIMENTO E INSTALAÇÃO.</t>
  </si>
  <si>
    <t>COMPOSIÇÃO 31</t>
  </si>
  <si>
    <t>241318</t>
  </si>
  <si>
    <t>Placa de inauguração  em aço inox/letras bx. relevo- (40 x 30cm)</t>
  </si>
  <si>
    <t>97735</t>
  </si>
  <si>
    <t>PEÇA RETANGULAR PRÉ-MOLDADA, VOLUME DE CONCRETO DE 30 A 100 LITROS, TAXA DE AÇO APROXIMADA DE 30KG/M³. AF_01/2018</t>
  </si>
  <si>
    <t>COMPOSIÇÃO 32</t>
  </si>
  <si>
    <t>Peça em Concreto</t>
  </si>
  <si>
    <t>Espessura de Parede (m)</t>
  </si>
  <si>
    <t>Volume (m³)</t>
  </si>
  <si>
    <t>10.2</t>
  </si>
  <si>
    <t>unidade</t>
  </si>
  <si>
    <t>PLACA DE INAUGURAÇÃO EM AÇO INOX/LETRAS BX. RELEVO (40 X 30 CM) FIXADA NA PEÇA EM CONCRETO, INCLUISO FUNDAÇÃO. FORNECIMENTO E INSTALAÇÃO.</t>
  </si>
  <si>
    <t>TIPO DE OBRA</t>
  </si>
  <si>
    <t>ASSENTAMENTO DE GUIA (MEIO-FIO) EM TRECHO CURVO, CONFECCIONADA EM CONCRETO PRÉ-FABRICADO, DIMENSÕES 100X15X13X30 CM (COMPRIMENTO X BASE INFERIOR X BASE SUPERIOR X ALTURA), PARA VIAS URBANAS (USO VIÁRIO). AF_06/2016</t>
  </si>
  <si>
    <t>desconto</t>
  </si>
  <si>
    <t>CONSTRUTORA MANHATTAN EIRELI CNPJ: 23.458.709/0001-30
INSCRIÇÃO ESTADUAL: 15.703.744-4 - INSCRIÇÃO MUNICIPAL: 546081
Rua Joaquim Acácio, 1373 - Brasília - CEp: 68377-590 - Altamira-Pará 
Telefone (93) 99188-3100 / E-mail:manhattancivil@hotmail.com</t>
  </si>
  <si>
    <t xml:space="preserve">Prazo da obra:    </t>
  </si>
  <si>
    <t>TOTAL GERAL COM BDI 29,77%</t>
  </si>
  <si>
    <t xml:space="preserve">TOMADA DE PREÇOS Nº 005/2022-TP </t>
  </si>
  <si>
    <t>PROCESSO ADMINISTRATIVO DE Nº 083/2022</t>
  </si>
  <si>
    <t>PROCESSO ADMINISTRATIVO DE Nº 083/2023</t>
  </si>
  <si>
    <t xml:space="preserve">Prazo de execução:    </t>
  </si>
  <si>
    <t>Um milhão, Duzentos e Dois Mil, Novecentos e Sessenta e Nove Reais, Onze Centavos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</si>
</sst>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.00_);\(&quot;R$ &quot;#,##0.00\)"/>
    <numFmt numFmtId="165" formatCode="_(* #,##0.00_);_(* \(#,##0.00\);_(* &quot;-&quot;??_);_(@_)"/>
    <numFmt numFmtId="166" formatCode="&quot;R$&quot;\ #,##0.00"/>
    <numFmt numFmtId="167" formatCode="[$-416]mmmm\-yy;@"/>
    <numFmt numFmtId="168" formatCode="_-[$R$-416]\ * #,##0.00_-;\-[$R$-416]\ * #,##0.00_-;_-[$R$-416]\ * &quot;-&quot;??_-;_-@_-"/>
    <numFmt numFmtId="169" formatCode="#,##0.0;[Red]\-#,##0.0"/>
    <numFmt numFmtId="170" formatCode="#,##0.000"/>
    <numFmt numFmtId="171" formatCode="_([$€]* #,##0.00_);_([$€]* \(#,##0.00\);_([$€]* &quot;-&quot;??_);_(@_)"/>
    <numFmt numFmtId="172" formatCode="#,##0.00_ ;[Red]\-#,##0.00\ "/>
    <numFmt numFmtId="173" formatCode="#,##0.0000;\-#,##0.0000"/>
    <numFmt numFmtId="174" formatCode="&quot;R$ &quot;#,##0.00;[Red]&quot;-R$ &quot;#,##0.00"/>
    <numFmt numFmtId="175" formatCode="0.0"/>
    <numFmt numFmtId="176" formatCode="0.000"/>
    <numFmt numFmtId="177" formatCode="0.0%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10"/>
      <name val="Calibri"/>
      <family val="2"/>
      <scheme val="minor"/>
    </font>
    <font>
      <b/>
      <sz val="8"/>
      <color indexed="9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11"/>
      <name val="Arial"/>
      <family val="2"/>
    </font>
    <font>
      <sz val="10"/>
      <name val="Arial Narrow"/>
      <family val="2"/>
    </font>
    <font>
      <sz val="10"/>
      <color rgb="FF000000"/>
      <name val="Arial Narrow"/>
      <family val="2"/>
    </font>
    <font>
      <sz val="11"/>
      <name val="Calibri"/>
      <family val="2"/>
    </font>
    <font>
      <sz val="10"/>
      <color theme="1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sz val="8"/>
      <name val="Calibri"/>
      <family val="2"/>
      <scheme val="minor"/>
    </font>
    <font>
      <u val="singleAccounting"/>
      <sz val="11"/>
      <name val="Arial"/>
      <family val="2"/>
    </font>
    <font>
      <sz val="11"/>
      <color rgb="FF000000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u/>
      <sz val="10"/>
      <name val="Arial"/>
      <family val="2"/>
    </font>
    <font>
      <b/>
      <sz val="9"/>
      <color rgb="FF00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3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5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8"/>
      </patternFill>
    </fill>
    <fill>
      <patternFill patternType="solid">
        <fgColor theme="0" tint="-0.249977111117893"/>
        <bgColor indexed="55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26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</borders>
  <cellStyleXfs count="31">
    <xf numFmtId="0" fontId="0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171" fontId="2" fillId="0" borderId="0"/>
    <xf numFmtId="0" fontId="1" fillId="0" borderId="0"/>
    <xf numFmtId="0" fontId="2" fillId="0" borderId="0"/>
    <xf numFmtId="171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4" fillId="0" borderId="0"/>
    <xf numFmtId="44" fontId="2" fillId="0" borderId="0" applyFont="0" applyFill="0" applyBorder="0" applyAlignment="0" applyProtection="0"/>
    <xf numFmtId="0" fontId="2" fillId="0" borderId="0"/>
    <xf numFmtId="0" fontId="28" fillId="0" borderId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171" fontId="2" fillId="0" borderId="0"/>
  </cellStyleXfs>
  <cellXfs count="1267">
    <xf numFmtId="0" fontId="0" fillId="0" borderId="0" xfId="0"/>
    <xf numFmtId="40" fontId="3" fillId="3" borderId="0" xfId="6" applyNumberFormat="1" applyFont="1" applyFill="1" applyAlignment="1">
      <alignment horizontal="center"/>
    </xf>
    <xf numFmtId="40" fontId="2" fillId="3" borderId="0" xfId="6" applyNumberFormat="1" applyFill="1" applyAlignment="1">
      <alignment horizontal="center"/>
    </xf>
    <xf numFmtId="40" fontId="3" fillId="3" borderId="0" xfId="6" applyNumberFormat="1" applyFont="1" applyFill="1" applyAlignment="1">
      <alignment horizontal="left"/>
    </xf>
    <xf numFmtId="40" fontId="2" fillId="3" borderId="0" xfId="6" applyNumberFormat="1" applyFill="1" applyAlignment="1">
      <alignment horizontal="left"/>
    </xf>
    <xf numFmtId="38" fontId="3" fillId="3" borderId="0" xfId="6" applyNumberFormat="1" applyFont="1" applyFill="1" applyAlignment="1">
      <alignment horizontal="center"/>
    </xf>
    <xf numFmtId="0" fontId="0" fillId="3" borderId="0" xfId="0" applyFill="1"/>
    <xf numFmtId="40" fontId="2" fillId="3" borderId="0" xfId="10" applyNumberFormat="1" applyFill="1" applyAlignment="1">
      <alignment horizontal="center"/>
    </xf>
    <xf numFmtId="40" fontId="2" fillId="6" borderId="4" xfId="6" applyNumberFormat="1" applyFill="1" applyBorder="1" applyAlignment="1">
      <alignment horizontal="center"/>
    </xf>
    <xf numFmtId="40" fontId="2" fillId="6" borderId="3" xfId="10" applyNumberFormat="1" applyFill="1" applyBorder="1" applyAlignment="1">
      <alignment horizontal="center"/>
    </xf>
    <xf numFmtId="40" fontId="2" fillId="6" borderId="3" xfId="6" applyNumberFormat="1" applyFill="1" applyBorder="1" applyAlignment="1">
      <alignment horizontal="center"/>
    </xf>
    <xf numFmtId="40" fontId="2" fillId="6" borderId="2" xfId="6" applyNumberFormat="1" applyFill="1" applyBorder="1" applyAlignment="1">
      <alignment horizontal="center"/>
    </xf>
    <xf numFmtId="40" fontId="2" fillId="6" borderId="2" xfId="6" applyNumberFormat="1" applyFill="1" applyBorder="1" applyAlignment="1">
      <alignment horizontal="left"/>
    </xf>
    <xf numFmtId="40" fontId="2" fillId="3" borderId="0" xfId="10" applyNumberFormat="1" applyFill="1" applyAlignment="1">
      <alignment horizontal="center" vertical="center"/>
    </xf>
    <xf numFmtId="169" fontId="2" fillId="3" borderId="0" xfId="10" applyNumberFormat="1" applyFill="1" applyAlignment="1">
      <alignment horizontal="center"/>
    </xf>
    <xf numFmtId="40" fontId="2" fillId="3" borderId="0" xfId="10" applyNumberFormat="1" applyFill="1" applyAlignment="1">
      <alignment horizontal="right"/>
    </xf>
    <xf numFmtId="0" fontId="2" fillId="3" borderId="0" xfId="0" applyFont="1" applyFill="1"/>
    <xf numFmtId="2" fontId="2" fillId="0" borderId="0" xfId="0" applyNumberFormat="1" applyFont="1"/>
    <xf numFmtId="40" fontId="2" fillId="6" borderId="4" xfId="10" applyNumberFormat="1" applyFill="1" applyBorder="1" applyAlignment="1">
      <alignment horizontal="center"/>
    </xf>
    <xf numFmtId="2" fontId="2" fillId="3" borderId="0" xfId="0" applyNumberFormat="1" applyFont="1" applyFill="1"/>
    <xf numFmtId="0" fontId="2" fillId="0" borderId="47" xfId="0" applyFont="1" applyBorder="1"/>
    <xf numFmtId="0" fontId="0" fillId="0" borderId="48" xfId="0" applyBorder="1" applyAlignment="1">
      <alignment horizontal="center"/>
    </xf>
    <xf numFmtId="0" fontId="0" fillId="0" borderId="48" xfId="0" applyBorder="1"/>
    <xf numFmtId="0" fontId="0" fillId="0" borderId="16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/>
    </xf>
    <xf numFmtId="10" fontId="2" fillId="3" borderId="41" xfId="0" applyNumberFormat="1" applyFont="1" applyFill="1" applyBorder="1" applyAlignment="1">
      <alignment horizontal="center" vertical="center"/>
    </xf>
    <xf numFmtId="168" fontId="9" fillId="3" borderId="0" xfId="0" applyNumberFormat="1" applyFont="1" applyFill="1" applyAlignment="1">
      <alignment vertical="center" wrapText="1"/>
    </xf>
    <xf numFmtId="2" fontId="14" fillId="0" borderId="13" xfId="11" applyNumberFormat="1" applyFont="1" applyBorder="1" applyAlignment="1">
      <alignment vertical="center"/>
    </xf>
    <xf numFmtId="2" fontId="14" fillId="0" borderId="45" xfId="11" applyNumberFormat="1" applyFont="1" applyBorder="1" applyAlignment="1">
      <alignment vertical="center"/>
    </xf>
    <xf numFmtId="2" fontId="15" fillId="0" borderId="13" xfId="8" applyNumberFormat="1" applyFont="1" applyFill="1" applyBorder="1" applyAlignment="1" applyProtection="1">
      <alignment horizontal="center" vertical="center"/>
    </xf>
    <xf numFmtId="2" fontId="14" fillId="0" borderId="5" xfId="11" applyNumberFormat="1" applyFont="1" applyBorder="1" applyAlignment="1">
      <alignment vertical="center"/>
    </xf>
    <xf numFmtId="2" fontId="14" fillId="0" borderId="4" xfId="11" applyNumberFormat="1" applyFont="1" applyBorder="1" applyAlignment="1">
      <alignment vertical="center"/>
    </xf>
    <xf numFmtId="2" fontId="15" fillId="0" borderId="5" xfId="8" applyNumberFormat="1" applyFont="1" applyFill="1" applyBorder="1" applyAlignment="1" applyProtection="1">
      <alignment horizontal="center" vertical="center"/>
    </xf>
    <xf numFmtId="2" fontId="14" fillId="0" borderId="5" xfId="11" applyNumberFormat="1" applyFont="1" applyBorder="1" applyAlignment="1">
      <alignment horizontal="center" vertical="center"/>
    </xf>
    <xf numFmtId="2" fontId="15" fillId="0" borderId="5" xfId="8" applyNumberFormat="1" applyFont="1" applyFill="1" applyBorder="1" applyAlignment="1" applyProtection="1">
      <alignment horizontal="right" vertical="center"/>
    </xf>
    <xf numFmtId="2" fontId="15" fillId="0" borderId="4" xfId="8" applyNumberFormat="1" applyFont="1" applyFill="1" applyBorder="1" applyAlignment="1" applyProtection="1">
      <alignment horizontal="right" vertical="center"/>
    </xf>
    <xf numFmtId="0" fontId="0" fillId="0" borderId="0" xfId="0" applyAlignment="1">
      <alignment horizontal="right"/>
    </xf>
    <xf numFmtId="40" fontId="3" fillId="3" borderId="0" xfId="6" applyNumberFormat="1" applyFont="1" applyFill="1" applyAlignment="1">
      <alignment vertical="center"/>
    </xf>
    <xf numFmtId="40" fontId="2" fillId="3" borderId="0" xfId="6" applyNumberFormat="1" applyFill="1" applyAlignment="1">
      <alignment vertical="center" wrapText="1"/>
    </xf>
    <xf numFmtId="0" fontId="6" fillId="0" borderId="0" xfId="0" applyFont="1"/>
    <xf numFmtId="0" fontId="6" fillId="3" borderId="0" xfId="0" applyFont="1" applyFill="1"/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40" fontId="2" fillId="3" borderId="0" xfId="6" applyNumberFormat="1" applyFill="1"/>
    <xf numFmtId="2" fontId="0" fillId="0" borderId="0" xfId="0" applyNumberFormat="1"/>
    <xf numFmtId="2" fontId="2" fillId="0" borderId="0" xfId="0" applyNumberFormat="1" applyFont="1" applyAlignment="1">
      <alignment horizontal="right" vertical="center"/>
    </xf>
    <xf numFmtId="40" fontId="2" fillId="3" borderId="0" xfId="10" applyNumberFormat="1" applyFill="1" applyAlignment="1">
      <alignment horizontal="center" vertical="top"/>
    </xf>
    <xf numFmtId="40" fontId="2" fillId="3" borderId="0" xfId="6" applyNumberFormat="1" applyFill="1" applyAlignment="1">
      <alignment horizontal="center" vertical="center"/>
    </xf>
    <xf numFmtId="0" fontId="0" fillId="3" borderId="0" xfId="0" applyFill="1" applyAlignment="1">
      <alignment vertical="center"/>
    </xf>
    <xf numFmtId="40" fontId="2" fillId="3" borderId="0" xfId="10" applyNumberFormat="1" applyFill="1" applyAlignment="1">
      <alignment horizontal="left" vertical="center"/>
    </xf>
    <xf numFmtId="40" fontId="2" fillId="3" borderId="0" xfId="10" applyNumberFormat="1" applyFill="1" applyAlignment="1">
      <alignment wrapText="1"/>
    </xf>
    <xf numFmtId="0" fontId="5" fillId="3" borderId="0" xfId="0" applyFont="1" applyFill="1"/>
    <xf numFmtId="40" fontId="13" fillId="3" borderId="0" xfId="6" applyNumberFormat="1" applyFont="1" applyFill="1" applyAlignment="1">
      <alignment horizontal="center" vertical="center" wrapText="1"/>
    </xf>
    <xf numFmtId="2" fontId="13" fillId="3" borderId="5" xfId="0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5" fillId="0" borderId="0" xfId="0" applyFont="1"/>
    <xf numFmtId="2" fontId="5" fillId="3" borderId="0" xfId="0" applyNumberFormat="1" applyFont="1" applyFill="1" applyAlignment="1">
      <alignment horizontal="center"/>
    </xf>
    <xf numFmtId="40" fontId="2" fillId="7" borderId="4" xfId="6" applyNumberFormat="1" applyFill="1" applyBorder="1" applyAlignment="1">
      <alignment horizontal="left"/>
    </xf>
    <xf numFmtId="40" fontId="2" fillId="7" borderId="3" xfId="6" applyNumberFormat="1" applyFill="1" applyBorder="1" applyAlignment="1">
      <alignment horizontal="left"/>
    </xf>
    <xf numFmtId="0" fontId="5" fillId="3" borderId="0" xfId="0" applyFont="1" applyFill="1" applyAlignment="1">
      <alignment vertical="center"/>
    </xf>
    <xf numFmtId="40" fontId="2" fillId="3" borderId="26" xfId="6" applyNumberFormat="1" applyFill="1" applyBorder="1"/>
    <xf numFmtId="0" fontId="13" fillId="0" borderId="13" xfId="0" applyFont="1" applyBorder="1" applyAlignment="1">
      <alignment horizontal="center" vertical="center" wrapText="1"/>
    </xf>
    <xf numFmtId="49" fontId="13" fillId="0" borderId="5" xfId="3" applyNumberFormat="1" applyFont="1" applyBorder="1" applyAlignment="1">
      <alignment horizontal="center" vertical="center" wrapText="1"/>
    </xf>
    <xf numFmtId="49" fontId="13" fillId="0" borderId="5" xfId="3" applyNumberFormat="1" applyFont="1" applyBorder="1" applyAlignment="1">
      <alignment horizontal="left" vertical="center" wrapText="1"/>
    </xf>
    <xf numFmtId="0" fontId="13" fillId="0" borderId="5" xfId="0" applyFont="1" applyBorder="1" applyAlignment="1">
      <alignment horizontal="center" vertical="center" wrapText="1"/>
    </xf>
    <xf numFmtId="4" fontId="13" fillId="3" borderId="5" xfId="0" applyNumberFormat="1" applyFont="1" applyFill="1" applyBorder="1" applyAlignment="1">
      <alignment horizontal="left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0" fillId="3" borderId="1" xfId="0" applyFill="1" applyBorder="1"/>
    <xf numFmtId="0" fontId="0" fillId="3" borderId="11" xfId="0" applyFill="1" applyBorder="1"/>
    <xf numFmtId="40" fontId="2" fillId="3" borderId="0" xfId="10" applyNumberFormat="1" applyFill="1" applyAlignment="1">
      <alignment horizont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/>
    </xf>
    <xf numFmtId="0" fontId="2" fillId="0" borderId="5" xfId="0" applyFont="1" applyBorder="1"/>
    <xf numFmtId="10" fontId="0" fillId="0" borderId="5" xfId="0" applyNumberFormat="1" applyBorder="1"/>
    <xf numFmtId="10" fontId="0" fillId="0" borderId="18" xfId="0" applyNumberFormat="1" applyBorder="1"/>
    <xf numFmtId="0" fontId="2" fillId="0" borderId="0" xfId="0" applyFont="1"/>
    <xf numFmtId="10" fontId="2" fillId="0" borderId="5" xfId="0" applyNumberFormat="1" applyFont="1" applyBorder="1"/>
    <xf numFmtId="10" fontId="2" fillId="0" borderId="18" xfId="0" applyNumberFormat="1" applyFont="1" applyBorder="1"/>
    <xf numFmtId="0" fontId="3" fillId="2" borderId="2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10" fontId="3" fillId="2" borderId="5" xfId="0" applyNumberFormat="1" applyFont="1" applyFill="1" applyBorder="1"/>
    <xf numFmtId="10" fontId="3" fillId="2" borderId="18" xfId="0" applyNumberFormat="1" applyFont="1" applyFill="1" applyBorder="1"/>
    <xf numFmtId="10" fontId="2" fillId="0" borderId="5" xfId="0" applyNumberFormat="1" applyFont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10" fontId="0" fillId="2" borderId="14" xfId="0" applyNumberFormat="1" applyFill="1" applyBorder="1"/>
    <xf numFmtId="10" fontId="0" fillId="2" borderId="55" xfId="0" applyNumberFormat="1" applyFill="1" applyBorder="1"/>
    <xf numFmtId="0" fontId="2" fillId="0" borderId="56" xfId="0" applyFont="1" applyBorder="1" applyAlignment="1">
      <alignment horizontal="center"/>
    </xf>
    <xf numFmtId="0" fontId="2" fillId="0" borderId="13" xfId="0" applyFont="1" applyBorder="1"/>
    <xf numFmtId="10" fontId="0" fillId="0" borderId="13" xfId="0" applyNumberFormat="1" applyBorder="1"/>
    <xf numFmtId="10" fontId="0" fillId="0" borderId="57" xfId="0" applyNumberFormat="1" applyBorder="1"/>
    <xf numFmtId="0" fontId="2" fillId="0" borderId="5" xfId="0" applyFont="1" applyBorder="1" applyAlignment="1">
      <alignment wrapText="1"/>
    </xf>
    <xf numFmtId="10" fontId="0" fillId="0" borderId="5" xfId="0" applyNumberFormat="1" applyBorder="1" applyAlignment="1">
      <alignment vertical="center"/>
    </xf>
    <xf numFmtId="10" fontId="0" fillId="0" borderId="18" xfId="0" applyNumberFormat="1" applyBorder="1" applyAlignment="1">
      <alignment vertical="center"/>
    </xf>
    <xf numFmtId="10" fontId="0" fillId="2" borderId="5" xfId="0" applyNumberFormat="1" applyFill="1" applyBorder="1"/>
    <xf numFmtId="10" fontId="0" fillId="2" borderId="18" xfId="0" applyNumberFormat="1" applyFill="1" applyBorder="1"/>
    <xf numFmtId="10" fontId="0" fillId="9" borderId="20" xfId="0" applyNumberFormat="1" applyFill="1" applyBorder="1"/>
    <xf numFmtId="10" fontId="0" fillId="9" borderId="21" xfId="0" applyNumberFormat="1" applyFill="1" applyBorder="1"/>
    <xf numFmtId="0" fontId="2" fillId="0" borderId="24" xfId="0" applyFont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8" fontId="13" fillId="0" borderId="5" xfId="0" applyNumberFormat="1" applyFont="1" applyBorder="1" applyAlignment="1">
      <alignment horizontal="center" vertical="center" wrapText="1"/>
    </xf>
    <xf numFmtId="0" fontId="5" fillId="3" borderId="0" xfId="0" applyFont="1" applyFill="1" applyAlignment="1">
      <alignment horizontal="left" wrapText="1"/>
    </xf>
    <xf numFmtId="172" fontId="0" fillId="0" borderId="0" xfId="0" applyNumberFormat="1"/>
    <xf numFmtId="7" fontId="13" fillId="0" borderId="5" xfId="12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13" fillId="0" borderId="14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10" fontId="13" fillId="0" borderId="12" xfId="7" applyNumberFormat="1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5" xfId="3" applyFont="1" applyBorder="1" applyAlignment="1">
      <alignment horizontal="center" vertical="center"/>
    </xf>
    <xf numFmtId="0" fontId="13" fillId="3" borderId="5" xfId="3" applyFont="1" applyFill="1" applyBorder="1" applyAlignment="1">
      <alignment horizontal="left" vertical="center"/>
    </xf>
    <xf numFmtId="0" fontId="13" fillId="3" borderId="5" xfId="3" applyFont="1" applyFill="1" applyBorder="1" applyAlignment="1">
      <alignment horizontal="left" vertical="center" wrapText="1"/>
    </xf>
    <xf numFmtId="0" fontId="13" fillId="3" borderId="14" xfId="3" applyFont="1" applyFill="1" applyBorder="1" applyAlignment="1">
      <alignment horizontal="left" vertical="center" wrapText="1"/>
    </xf>
    <xf numFmtId="8" fontId="13" fillId="0" borderId="13" xfId="0" applyNumberFormat="1" applyFont="1" applyBorder="1" applyAlignment="1">
      <alignment horizontal="center" vertical="center" wrapText="1"/>
    </xf>
    <xf numFmtId="4" fontId="13" fillId="3" borderId="14" xfId="0" applyNumberFormat="1" applyFont="1" applyFill="1" applyBorder="1" applyAlignment="1">
      <alignment horizontal="left" vertical="center" wrapText="1"/>
    </xf>
    <xf numFmtId="8" fontId="13" fillId="0" borderId="14" xfId="0" applyNumberFormat="1" applyFont="1" applyBorder="1" applyAlignment="1">
      <alignment horizontal="center" vertical="center" wrapText="1"/>
    </xf>
    <xf numFmtId="8" fontId="13" fillId="3" borderId="13" xfId="0" applyNumberFormat="1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center" vertical="center" wrapText="1"/>
    </xf>
    <xf numFmtId="168" fontId="13" fillId="3" borderId="14" xfId="1" applyNumberFormat="1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left" vertical="center" wrapText="1"/>
    </xf>
    <xf numFmtId="168" fontId="13" fillId="3" borderId="5" xfId="1" applyNumberFormat="1" applyFont="1" applyFill="1" applyBorder="1" applyAlignment="1">
      <alignment horizontal="center" vertical="center"/>
    </xf>
    <xf numFmtId="168" fontId="13" fillId="3" borderId="5" xfId="2" applyNumberFormat="1" applyFont="1" applyFill="1" applyBorder="1" applyAlignment="1">
      <alignment horizontal="center" vertical="center"/>
    </xf>
    <xf numFmtId="7" fontId="13" fillId="3" borderId="13" xfId="1" applyNumberFormat="1" applyFont="1" applyFill="1" applyBorder="1" applyAlignment="1">
      <alignment horizontal="center" vertical="center" wrapText="1"/>
    </xf>
    <xf numFmtId="171" fontId="13" fillId="0" borderId="5" xfId="0" applyNumberFormat="1" applyFont="1" applyBorder="1" applyAlignment="1">
      <alignment horizontal="left" vertical="center" wrapText="1"/>
    </xf>
    <xf numFmtId="40" fontId="13" fillId="3" borderId="5" xfId="0" applyNumberFormat="1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3" xfId="3" applyFont="1" applyBorder="1" applyAlignment="1">
      <alignment horizontal="center" vertical="center"/>
    </xf>
    <xf numFmtId="8" fontId="13" fillId="3" borderId="13" xfId="2" applyNumberFormat="1" applyFont="1" applyFill="1" applyBorder="1" applyAlignment="1" applyProtection="1">
      <alignment horizontal="center" vertical="center"/>
    </xf>
    <xf numFmtId="40" fontId="11" fillId="0" borderId="0" xfId="6" applyNumberFormat="1" applyFont="1" applyAlignment="1">
      <alignment vertical="center"/>
    </xf>
    <xf numFmtId="40" fontId="11" fillId="0" borderId="0" xfId="6" applyNumberFormat="1" applyFont="1" applyAlignment="1">
      <alignment horizontal="center" vertical="center"/>
    </xf>
    <xf numFmtId="0" fontId="13" fillId="0" borderId="0" xfId="13" applyNumberFormat="1" applyFont="1"/>
    <xf numFmtId="44" fontId="13" fillId="0" borderId="0" xfId="2" applyFont="1" applyFill="1"/>
    <xf numFmtId="0" fontId="5" fillId="0" borderId="0" xfId="14" applyFont="1"/>
    <xf numFmtId="44" fontId="5" fillId="0" borderId="0" xfId="2" applyFont="1" applyFill="1"/>
    <xf numFmtId="10" fontId="5" fillId="0" borderId="0" xfId="7" applyNumberFormat="1" applyFont="1" applyFill="1"/>
    <xf numFmtId="0" fontId="13" fillId="11" borderId="4" xfId="15" applyFont="1" applyFill="1" applyBorder="1" applyAlignment="1">
      <alignment horizontal="center"/>
    </xf>
    <xf numFmtId="2" fontId="13" fillId="11" borderId="2" xfId="15" applyNumberFormat="1" applyFont="1" applyFill="1" applyBorder="1" applyAlignment="1">
      <alignment horizontal="center"/>
    </xf>
    <xf numFmtId="0" fontId="13" fillId="11" borderId="3" xfId="15" applyFont="1" applyFill="1" applyBorder="1" applyAlignment="1">
      <alignment horizontal="center"/>
    </xf>
    <xf numFmtId="40" fontId="11" fillId="0" borderId="0" xfId="6" applyNumberFormat="1" applyFont="1" applyAlignment="1">
      <alignment horizontal="center"/>
    </xf>
    <xf numFmtId="40" fontId="11" fillId="0" borderId="0" xfId="6" applyNumberFormat="1" applyFont="1" applyAlignment="1">
      <alignment horizontal="left"/>
    </xf>
    <xf numFmtId="40" fontId="13" fillId="0" borderId="0" xfId="6" applyNumberFormat="1" applyFont="1" applyAlignment="1">
      <alignment horizontal="center"/>
    </xf>
    <xf numFmtId="40" fontId="13" fillId="0" borderId="0" xfId="6" applyNumberFormat="1" applyFont="1" applyAlignment="1">
      <alignment horizontal="left"/>
    </xf>
    <xf numFmtId="40" fontId="13" fillId="11" borderId="4" xfId="6" applyNumberFormat="1" applyFont="1" applyFill="1" applyBorder="1" applyAlignment="1">
      <alignment horizontal="center"/>
    </xf>
    <xf numFmtId="40" fontId="13" fillId="11" borderId="2" xfId="6" applyNumberFormat="1" applyFont="1" applyFill="1" applyBorder="1" applyAlignment="1">
      <alignment horizontal="center"/>
    </xf>
    <xf numFmtId="40" fontId="13" fillId="11" borderId="3" xfId="6" applyNumberFormat="1" applyFont="1" applyFill="1" applyBorder="1" applyAlignment="1">
      <alignment horizontal="center"/>
    </xf>
    <xf numFmtId="40" fontId="13" fillId="0" borderId="0" xfId="6" applyNumberFormat="1" applyFont="1" applyAlignment="1">
      <alignment vertical="center" wrapText="1"/>
    </xf>
    <xf numFmtId="40" fontId="11" fillId="3" borderId="0" xfId="6" applyNumberFormat="1" applyFont="1" applyFill="1" applyAlignment="1">
      <alignment horizontal="center" vertical="center"/>
    </xf>
    <xf numFmtId="40" fontId="13" fillId="3" borderId="0" xfId="6" applyNumberFormat="1" applyFont="1" applyFill="1" applyAlignment="1">
      <alignment horizontal="left" vertical="center"/>
    </xf>
    <xf numFmtId="40" fontId="13" fillId="3" borderId="0" xfId="6" applyNumberFormat="1" applyFont="1" applyFill="1"/>
    <xf numFmtId="40" fontId="13" fillId="3" borderId="0" xfId="6" applyNumberFormat="1" applyFont="1" applyFill="1" applyAlignment="1">
      <alignment horizontal="center"/>
    </xf>
    <xf numFmtId="40" fontId="13" fillId="3" borderId="0" xfId="6" applyNumberFormat="1" applyFont="1" applyFill="1" applyAlignment="1">
      <alignment horizontal="right"/>
    </xf>
    <xf numFmtId="40" fontId="13" fillId="3" borderId="0" xfId="6" applyNumberFormat="1" applyFont="1" applyFill="1" applyAlignment="1">
      <alignment wrapText="1"/>
    </xf>
    <xf numFmtId="40" fontId="13" fillId="3" borderId="0" xfId="6" applyNumberFormat="1" applyFont="1" applyFill="1" applyAlignment="1">
      <alignment horizontal="center" vertical="center"/>
    </xf>
    <xf numFmtId="0" fontId="13" fillId="3" borderId="0" xfId="6" applyFont="1" applyFill="1"/>
    <xf numFmtId="40" fontId="13" fillId="3" borderId="0" xfId="6" applyNumberFormat="1" applyFont="1" applyFill="1" applyAlignment="1">
      <alignment vertical="center" wrapText="1"/>
    </xf>
    <xf numFmtId="38" fontId="11" fillId="3" borderId="0" xfId="6" applyNumberFormat="1" applyFont="1" applyFill="1" applyAlignment="1">
      <alignment horizontal="center"/>
    </xf>
    <xf numFmtId="40" fontId="11" fillId="3" borderId="0" xfId="6" applyNumberFormat="1" applyFont="1" applyFill="1" applyAlignment="1">
      <alignment horizontal="center"/>
    </xf>
    <xf numFmtId="38" fontId="11" fillId="3" borderId="0" xfId="6" applyNumberFormat="1" applyFont="1" applyFill="1" applyAlignment="1">
      <alignment horizontal="center" vertical="center"/>
    </xf>
    <xf numFmtId="40" fontId="13" fillId="6" borderId="2" xfId="6" applyNumberFormat="1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39" fontId="13" fillId="0" borderId="13" xfId="1" applyNumberFormat="1" applyFont="1" applyFill="1" applyBorder="1" applyAlignment="1" applyProtection="1">
      <alignment horizontal="center" vertical="center" wrapText="1"/>
    </xf>
    <xf numFmtId="2" fontId="13" fillId="0" borderId="5" xfId="0" applyNumberFormat="1" applyFont="1" applyBorder="1" applyAlignment="1">
      <alignment horizontal="center" vertical="center"/>
    </xf>
    <xf numFmtId="39" fontId="13" fillId="0" borderId="5" xfId="1" applyNumberFormat="1" applyFont="1" applyFill="1" applyBorder="1" applyAlignment="1" applyProtection="1">
      <alignment horizontal="center" vertical="center" wrapText="1"/>
    </xf>
    <xf numFmtId="2" fontId="13" fillId="0" borderId="14" xfId="0" applyNumberFormat="1" applyFont="1" applyBorder="1" applyAlignment="1">
      <alignment horizontal="center" vertical="center"/>
    </xf>
    <xf numFmtId="0" fontId="4" fillId="3" borderId="0" xfId="0" applyFont="1" applyFill="1"/>
    <xf numFmtId="39" fontId="13" fillId="0" borderId="14" xfId="1" applyNumberFormat="1" applyFont="1" applyFill="1" applyBorder="1" applyAlignment="1" applyProtection="1">
      <alignment horizontal="center" vertical="center" wrapText="1"/>
    </xf>
    <xf numFmtId="40" fontId="13" fillId="3" borderId="0" xfId="6" applyNumberFormat="1" applyFont="1" applyFill="1" applyAlignment="1">
      <alignment horizontal="left"/>
    </xf>
    <xf numFmtId="40" fontId="11" fillId="3" borderId="17" xfId="6" applyNumberFormat="1" applyFont="1" applyFill="1" applyBorder="1" applyAlignment="1">
      <alignment horizontal="center" vertical="center"/>
    </xf>
    <xf numFmtId="2" fontId="13" fillId="3" borderId="14" xfId="0" applyNumberFormat="1" applyFont="1" applyFill="1" applyBorder="1" applyAlignment="1">
      <alignment horizontal="center" vertical="center"/>
    </xf>
    <xf numFmtId="40" fontId="3" fillId="3" borderId="0" xfId="6" applyNumberFormat="1" applyFont="1" applyFill="1" applyAlignment="1">
      <alignment horizontal="center" vertical="center"/>
    </xf>
    <xf numFmtId="39" fontId="13" fillId="0" borderId="12" xfId="0" applyNumberFormat="1" applyFont="1" applyBorder="1" applyAlignment="1">
      <alignment horizontal="center" vertical="center" wrapText="1"/>
    </xf>
    <xf numFmtId="171" fontId="2" fillId="0" borderId="0" xfId="13"/>
    <xf numFmtId="171" fontId="2" fillId="3" borderId="0" xfId="13" applyFill="1"/>
    <xf numFmtId="0" fontId="20" fillId="3" borderId="1" xfId="16" applyNumberFormat="1" applyFont="1" applyFill="1" applyBorder="1" applyAlignment="1">
      <alignment horizontal="center" vertical="center" wrapText="1"/>
    </xf>
    <xf numFmtId="171" fontId="11" fillId="3" borderId="0" xfId="16" applyFont="1" applyFill="1" applyAlignment="1">
      <alignment vertical="center"/>
    </xf>
    <xf numFmtId="2" fontId="13" fillId="3" borderId="5" xfId="13" applyNumberFormat="1" applyFont="1" applyFill="1" applyBorder="1" applyAlignment="1">
      <alignment horizontal="center" vertical="center"/>
    </xf>
    <xf numFmtId="2" fontId="13" fillId="0" borderId="5" xfId="13" applyNumberFormat="1" applyFont="1" applyBorder="1" applyAlignment="1">
      <alignment horizontal="center" vertical="center"/>
    </xf>
    <xf numFmtId="40" fontId="2" fillId="6" borderId="4" xfId="13" applyNumberFormat="1" applyFill="1" applyBorder="1" applyAlignment="1">
      <alignment horizontal="center" vertical="center"/>
    </xf>
    <xf numFmtId="40" fontId="2" fillId="6" borderId="2" xfId="13" applyNumberFormat="1" applyFill="1" applyBorder="1" applyAlignment="1">
      <alignment horizontal="center" vertical="center"/>
    </xf>
    <xf numFmtId="40" fontId="2" fillId="6" borderId="3" xfId="13" applyNumberFormat="1" applyFill="1" applyBorder="1" applyAlignment="1">
      <alignment horizontal="center" vertical="center"/>
    </xf>
    <xf numFmtId="2" fontId="20" fillId="3" borderId="0" xfId="16" applyNumberFormat="1" applyFont="1" applyFill="1" applyAlignment="1">
      <alignment vertical="center"/>
    </xf>
    <xf numFmtId="171" fontId="13" fillId="3" borderId="0" xfId="13" applyFont="1" applyFill="1"/>
    <xf numFmtId="171" fontId="13" fillId="3" borderId="0" xfId="13" applyFont="1" applyFill="1" applyAlignment="1">
      <alignment horizontal="center"/>
    </xf>
    <xf numFmtId="0" fontId="13" fillId="3" borderId="0" xfId="13" applyNumberFormat="1" applyFont="1" applyFill="1" applyAlignment="1">
      <alignment horizontal="center"/>
    </xf>
    <xf numFmtId="171" fontId="2" fillId="3" borderId="0" xfId="13" applyFill="1" applyAlignment="1">
      <alignment horizontal="center"/>
    </xf>
    <xf numFmtId="2" fontId="13" fillId="3" borderId="0" xfId="13" applyNumberFormat="1" applyFont="1" applyFill="1" applyAlignment="1">
      <alignment horizontal="center"/>
    </xf>
    <xf numFmtId="0" fontId="13" fillId="0" borderId="26" xfId="13" applyNumberFormat="1" applyFont="1" applyBorder="1" applyAlignment="1">
      <alignment horizontal="center"/>
    </xf>
    <xf numFmtId="2" fontId="13" fillId="3" borderId="26" xfId="17" applyNumberFormat="1" applyFont="1" applyFill="1" applyBorder="1" applyAlignment="1">
      <alignment horizontal="center"/>
    </xf>
    <xf numFmtId="0" fontId="13" fillId="3" borderId="26" xfId="13" applyNumberFormat="1" applyFont="1" applyFill="1" applyBorder="1" applyAlignment="1">
      <alignment horizontal="center"/>
    </xf>
    <xf numFmtId="2" fontId="13" fillId="3" borderId="26" xfId="13" applyNumberFormat="1" applyFont="1" applyFill="1" applyBorder="1" applyAlignment="1">
      <alignment horizontal="center"/>
    </xf>
    <xf numFmtId="0" fontId="2" fillId="3" borderId="0" xfId="13" applyNumberFormat="1" applyFill="1" applyAlignment="1">
      <alignment horizontal="center"/>
    </xf>
    <xf numFmtId="171" fontId="13" fillId="3" borderId="0" xfId="13" applyFont="1" applyFill="1" applyAlignment="1">
      <alignment horizontal="left"/>
    </xf>
    <xf numFmtId="40" fontId="13" fillId="6" borderId="4" xfId="13" applyNumberFormat="1" applyFont="1" applyFill="1" applyBorder="1" applyAlignment="1">
      <alignment horizontal="center" vertical="center"/>
    </xf>
    <xf numFmtId="40" fontId="13" fillId="6" borderId="2" xfId="13" applyNumberFormat="1" applyFont="1" applyFill="1" applyBorder="1" applyAlignment="1">
      <alignment horizontal="center" vertical="center"/>
    </xf>
    <xf numFmtId="40" fontId="13" fillId="6" borderId="3" xfId="13" applyNumberFormat="1" applyFont="1" applyFill="1" applyBorder="1" applyAlignment="1">
      <alignment horizontal="center" vertical="center"/>
    </xf>
    <xf numFmtId="0" fontId="20" fillId="3" borderId="0" xfId="16" applyNumberFormat="1" applyFont="1" applyFill="1" applyAlignment="1">
      <alignment horizontal="center" vertical="center" wrapText="1"/>
    </xf>
    <xf numFmtId="2" fontId="20" fillId="3" borderId="0" xfId="16" applyNumberFormat="1" applyFont="1" applyFill="1" applyAlignment="1">
      <alignment horizontal="left" vertical="center" wrapText="1"/>
    </xf>
    <xf numFmtId="2" fontId="23" fillId="3" borderId="5" xfId="16" applyNumberFormat="1" applyFont="1" applyFill="1" applyBorder="1" applyAlignment="1">
      <alignment horizontal="center" vertical="center" wrapText="1"/>
    </xf>
    <xf numFmtId="2" fontId="23" fillId="3" borderId="0" xfId="16" applyNumberFormat="1" applyFont="1" applyFill="1" applyAlignment="1">
      <alignment horizontal="center" vertical="center" wrapText="1"/>
    </xf>
    <xf numFmtId="2" fontId="23" fillId="3" borderId="0" xfId="16" applyNumberFormat="1" applyFont="1" applyFill="1" applyAlignment="1">
      <alignment horizontal="center" vertical="center"/>
    </xf>
    <xf numFmtId="171" fontId="2" fillId="0" borderId="0" xfId="13" applyAlignment="1">
      <alignment horizontal="center"/>
    </xf>
    <xf numFmtId="0" fontId="13" fillId="0" borderId="0" xfId="13" applyNumberFormat="1" applyFont="1" applyAlignment="1">
      <alignment horizontal="center"/>
    </xf>
    <xf numFmtId="171" fontId="22" fillId="3" borderId="0" xfId="13" applyFont="1" applyFill="1"/>
    <xf numFmtId="2" fontId="2" fillId="3" borderId="5" xfId="13" applyNumberFormat="1" applyFill="1" applyBorder="1" applyAlignment="1">
      <alignment horizontal="center" vertical="center"/>
    </xf>
    <xf numFmtId="171" fontId="2" fillId="3" borderId="2" xfId="13" applyFill="1" applyBorder="1"/>
    <xf numFmtId="171" fontId="2" fillId="3" borderId="3" xfId="13" applyFill="1" applyBorder="1"/>
    <xf numFmtId="171" fontId="22" fillId="3" borderId="0" xfId="13" applyFont="1" applyFill="1" applyAlignment="1">
      <alignment horizontal="center"/>
    </xf>
    <xf numFmtId="171" fontId="22" fillId="3" borderId="0" xfId="13" applyFont="1" applyFill="1" applyAlignment="1">
      <alignment horizontal="left"/>
    </xf>
    <xf numFmtId="171" fontId="2" fillId="0" borderId="26" xfId="13" applyBorder="1" applyAlignment="1">
      <alignment horizontal="center"/>
    </xf>
    <xf numFmtId="171" fontId="2" fillId="3" borderId="26" xfId="13" applyFill="1" applyBorder="1" applyAlignment="1">
      <alignment horizontal="center"/>
    </xf>
    <xf numFmtId="2" fontId="13" fillId="3" borderId="0" xfId="13" applyNumberFormat="1" applyFont="1" applyFill="1"/>
    <xf numFmtId="2" fontId="13" fillId="3" borderId="5" xfId="13" applyNumberFormat="1" applyFont="1" applyFill="1" applyBorder="1" applyAlignment="1">
      <alignment horizontal="center"/>
    </xf>
    <xf numFmtId="171" fontId="11" fillId="3" borderId="0" xfId="13" applyFont="1" applyFill="1"/>
    <xf numFmtId="171" fontId="13" fillId="0" borderId="0" xfId="13" applyFont="1" applyAlignment="1">
      <alignment horizontal="center"/>
    </xf>
    <xf numFmtId="2" fontId="20" fillId="3" borderId="0" xfId="16" applyNumberFormat="1" applyFont="1" applyFill="1" applyAlignment="1">
      <alignment horizontal="left" vertical="center"/>
    </xf>
    <xf numFmtId="2" fontId="16" fillId="3" borderId="5" xfId="13" applyNumberFormat="1" applyFont="1" applyFill="1" applyBorder="1" applyAlignment="1">
      <alignment horizontal="center" vertical="center"/>
    </xf>
    <xf numFmtId="2" fontId="13" fillId="0" borderId="5" xfId="13" applyNumberFormat="1" applyFont="1" applyBorder="1" applyAlignment="1">
      <alignment horizontal="center"/>
    </xf>
    <xf numFmtId="171" fontId="13" fillId="0" borderId="0" xfId="13" applyFont="1"/>
    <xf numFmtId="171" fontId="11" fillId="3" borderId="0" xfId="13" applyFont="1" applyFill="1" applyAlignment="1">
      <alignment vertical="center"/>
    </xf>
    <xf numFmtId="0" fontId="11" fillId="3" borderId="0" xfId="13" applyNumberFormat="1" applyFont="1" applyFill="1" applyAlignment="1">
      <alignment vertical="center"/>
    </xf>
    <xf numFmtId="165" fontId="13" fillId="3" borderId="13" xfId="1" applyFont="1" applyFill="1" applyBorder="1" applyAlignment="1">
      <alignment horizontal="center" vertical="center" wrapText="1"/>
    </xf>
    <xf numFmtId="39" fontId="13" fillId="3" borderId="5" xfId="0" applyNumberFormat="1" applyFont="1" applyFill="1" applyBorder="1" applyAlignment="1">
      <alignment horizontal="center" vertical="center" wrapText="1"/>
    </xf>
    <xf numFmtId="39" fontId="13" fillId="3" borderId="14" xfId="0" applyNumberFormat="1" applyFont="1" applyFill="1" applyBorder="1" applyAlignment="1">
      <alignment horizontal="center" vertical="center" wrapText="1"/>
    </xf>
    <xf numFmtId="165" fontId="13" fillId="3" borderId="5" xfId="1" applyFont="1" applyFill="1" applyBorder="1" applyAlignment="1">
      <alignment horizontal="center" vertical="center" wrapText="1"/>
    </xf>
    <xf numFmtId="2" fontId="13" fillId="3" borderId="13" xfId="0" applyNumberFormat="1" applyFont="1" applyFill="1" applyBorder="1" applyAlignment="1">
      <alignment horizontal="center" vertical="center" wrapText="1"/>
    </xf>
    <xf numFmtId="39" fontId="13" fillId="3" borderId="13" xfId="0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40" fontId="2" fillId="6" borderId="2" xfId="10" applyNumberFormat="1" applyFill="1" applyBorder="1" applyAlignment="1">
      <alignment horizontal="center"/>
    </xf>
    <xf numFmtId="39" fontId="13" fillId="3" borderId="5" xfId="1" applyNumberFormat="1" applyFont="1" applyFill="1" applyBorder="1" applyAlignment="1" applyProtection="1">
      <alignment horizontal="center" vertical="center" wrapText="1"/>
    </xf>
    <xf numFmtId="171" fontId="2" fillId="0" borderId="0" xfId="13" applyAlignment="1">
      <alignment vertical="center" wrapText="1"/>
    </xf>
    <xf numFmtId="171" fontId="11" fillId="0" borderId="0" xfId="13" applyFont="1" applyAlignment="1">
      <alignment horizontal="center" vertical="center" wrapText="1"/>
    </xf>
    <xf numFmtId="0" fontId="20" fillId="0" borderId="1" xfId="16" applyNumberFormat="1" applyFont="1" applyBorder="1" applyAlignment="1">
      <alignment horizontal="center" vertical="center" wrapText="1"/>
    </xf>
    <xf numFmtId="171" fontId="13" fillId="0" borderId="5" xfId="13" applyFont="1" applyBorder="1" applyAlignment="1">
      <alignment horizontal="center"/>
    </xf>
    <xf numFmtId="2" fontId="13" fillId="0" borderId="2" xfId="13" applyNumberFormat="1" applyFont="1" applyBorder="1" applyAlignment="1">
      <alignment horizontal="center"/>
    </xf>
    <xf numFmtId="0" fontId="13" fillId="8" borderId="4" xfId="13" applyNumberFormat="1" applyFont="1" applyFill="1" applyBorder="1" applyAlignment="1">
      <alignment horizontal="center" vertical="center"/>
    </xf>
    <xf numFmtId="2" fontId="13" fillId="8" borderId="2" xfId="13" applyNumberFormat="1" applyFont="1" applyFill="1" applyBorder="1" applyAlignment="1">
      <alignment horizontal="center" vertical="center"/>
    </xf>
    <xf numFmtId="0" fontId="13" fillId="8" borderId="3" xfId="13" applyNumberFormat="1" applyFont="1" applyFill="1" applyBorder="1" applyAlignment="1">
      <alignment horizontal="center" vertical="center"/>
    </xf>
    <xf numFmtId="0" fontId="13" fillId="0" borderId="5" xfId="13" applyNumberFormat="1" applyFont="1" applyBorder="1" applyAlignment="1">
      <alignment horizontal="center"/>
    </xf>
    <xf numFmtId="0" fontId="13" fillId="8" borderId="2" xfId="13" applyNumberFormat="1" applyFont="1" applyFill="1" applyBorder="1" applyAlignment="1">
      <alignment horizontal="center" vertical="center"/>
    </xf>
    <xf numFmtId="171" fontId="13" fillId="0" borderId="5" xfId="13" applyFont="1" applyBorder="1" applyAlignment="1">
      <alignment horizontal="center" vertical="center"/>
    </xf>
    <xf numFmtId="171" fontId="13" fillId="0" borderId="5" xfId="13" applyFont="1" applyBorder="1" applyAlignment="1">
      <alignment vertical="center"/>
    </xf>
    <xf numFmtId="2" fontId="13" fillId="0" borderId="0" xfId="13" applyNumberFormat="1" applyFont="1" applyAlignment="1">
      <alignment horizontal="center" vertical="center"/>
    </xf>
    <xf numFmtId="0" fontId="13" fillId="0" borderId="5" xfId="13" applyNumberFormat="1" applyFont="1" applyBorder="1" applyAlignment="1">
      <alignment horizontal="center" vertical="center"/>
    </xf>
    <xf numFmtId="0" fontId="13" fillId="0" borderId="13" xfId="13" applyNumberFormat="1" applyFont="1" applyBorder="1" applyAlignment="1">
      <alignment horizontal="center" vertical="center"/>
    </xf>
    <xf numFmtId="0" fontId="13" fillId="0" borderId="5" xfId="13" applyNumberFormat="1" applyFont="1" applyBorder="1" applyAlignment="1">
      <alignment vertical="center"/>
    </xf>
    <xf numFmtId="171" fontId="18" fillId="0" borderId="14" xfId="13" applyFont="1" applyBorder="1" applyAlignment="1">
      <alignment vertical="center" wrapText="1"/>
    </xf>
    <xf numFmtId="0" fontId="13" fillId="0" borderId="14" xfId="13" applyNumberFormat="1" applyFont="1" applyBorder="1" applyAlignment="1">
      <alignment vertical="center"/>
    </xf>
    <xf numFmtId="0" fontId="13" fillId="0" borderId="14" xfId="13" applyNumberFormat="1" applyFont="1" applyBorder="1" applyAlignment="1">
      <alignment horizontal="center" vertical="center"/>
    </xf>
    <xf numFmtId="0" fontId="13" fillId="0" borderId="12" xfId="13" applyNumberFormat="1" applyFont="1" applyBorder="1" applyAlignment="1">
      <alignment horizontal="center" vertical="center"/>
    </xf>
    <xf numFmtId="176" fontId="13" fillId="8" borderId="2" xfId="13" applyNumberFormat="1" applyFont="1" applyFill="1" applyBorder="1" applyAlignment="1">
      <alignment horizontal="center" vertical="center"/>
    </xf>
    <xf numFmtId="2" fontId="13" fillId="0" borderId="2" xfId="13" applyNumberFormat="1" applyFont="1" applyBorder="1" applyAlignment="1">
      <alignment horizontal="center" vertical="center"/>
    </xf>
    <xf numFmtId="171" fontId="13" fillId="0" borderId="0" xfId="13" applyFont="1" applyAlignment="1">
      <alignment vertical="center"/>
    </xf>
    <xf numFmtId="171" fontId="11" fillId="0" borderId="0" xfId="13" applyFont="1" applyAlignment="1">
      <alignment horizontal="center" vertical="center"/>
    </xf>
    <xf numFmtId="171" fontId="11" fillId="0" borderId="0" xfId="13" applyFont="1"/>
    <xf numFmtId="167" fontId="11" fillId="3" borderId="0" xfId="13" applyNumberFormat="1" applyFont="1" applyFill="1" applyAlignment="1">
      <alignment vertical="center" wrapText="1"/>
    </xf>
    <xf numFmtId="39" fontId="13" fillId="3" borderId="13" xfId="1" applyNumberFormat="1" applyFont="1" applyFill="1" applyBorder="1" applyAlignment="1" applyProtection="1">
      <alignment horizontal="center" vertical="center" wrapText="1"/>
    </xf>
    <xf numFmtId="168" fontId="13" fillId="0" borderId="5" xfId="1" applyNumberFormat="1" applyFont="1" applyFill="1" applyBorder="1" applyAlignment="1">
      <alignment horizontal="center" vertical="center"/>
    </xf>
    <xf numFmtId="8" fontId="13" fillId="0" borderId="14" xfId="0" applyNumberFormat="1" applyFont="1" applyBorder="1" applyAlignment="1">
      <alignment horizontal="center" vertical="center"/>
    </xf>
    <xf numFmtId="0" fontId="11" fillId="3" borderId="0" xfId="13" applyNumberFormat="1" applyFont="1" applyFill="1" applyAlignment="1">
      <alignment horizontal="center" vertical="center"/>
    </xf>
    <xf numFmtId="171" fontId="11" fillId="3" borderId="0" xfId="13" applyFont="1" applyFill="1" applyAlignment="1">
      <alignment horizontal="center"/>
    </xf>
    <xf numFmtId="49" fontId="13" fillId="3" borderId="4" xfId="13" applyNumberFormat="1" applyFont="1" applyFill="1" applyBorder="1"/>
    <xf numFmtId="49" fontId="13" fillId="3" borderId="2" xfId="13" applyNumberFormat="1" applyFont="1" applyFill="1" applyBorder="1"/>
    <xf numFmtId="49" fontId="13" fillId="3" borderId="3" xfId="13" applyNumberFormat="1" applyFont="1" applyFill="1" applyBorder="1"/>
    <xf numFmtId="171" fontId="13" fillId="3" borderId="5" xfId="13" applyFont="1" applyFill="1" applyBorder="1" applyAlignment="1">
      <alignment horizontal="center" vertical="center"/>
    </xf>
    <xf numFmtId="171" fontId="13" fillId="3" borderId="5" xfId="13" applyFont="1" applyFill="1" applyBorder="1"/>
    <xf numFmtId="171" fontId="13" fillId="3" borderId="5" xfId="13" applyFont="1" applyFill="1" applyBorder="1" applyAlignment="1">
      <alignment horizontal="center" vertical="center" wrapText="1"/>
    </xf>
    <xf numFmtId="40" fontId="13" fillId="3" borderId="0" xfId="13" applyNumberFormat="1" applyFont="1" applyFill="1" applyAlignment="1">
      <alignment horizontal="center" vertical="center"/>
    </xf>
    <xf numFmtId="40" fontId="11" fillId="3" borderId="0" xfId="13" applyNumberFormat="1" applyFont="1" applyFill="1" applyAlignment="1">
      <alignment horizontal="left" vertical="center"/>
    </xf>
    <xf numFmtId="171" fontId="11" fillId="3" borderId="0" xfId="13" applyFont="1" applyFill="1" applyAlignment="1">
      <alignment horizontal="center" vertical="center"/>
    </xf>
    <xf numFmtId="171" fontId="13" fillId="3" borderId="4" xfId="13" applyFont="1" applyFill="1" applyBorder="1"/>
    <xf numFmtId="171" fontId="13" fillId="3" borderId="2" xfId="13" applyFont="1" applyFill="1" applyBorder="1"/>
    <xf numFmtId="171" fontId="13" fillId="3" borderId="3" xfId="13" applyFont="1" applyFill="1" applyBorder="1"/>
    <xf numFmtId="171" fontId="13" fillId="3" borderId="13" xfId="13" applyFont="1" applyFill="1" applyBorder="1" applyAlignment="1">
      <alignment horizontal="center" vertical="center"/>
    </xf>
    <xf numFmtId="171" fontId="13" fillId="3" borderId="5" xfId="13" applyFont="1" applyFill="1" applyBorder="1" applyAlignment="1">
      <alignment horizontal="center"/>
    </xf>
    <xf numFmtId="171" fontId="11" fillId="3" borderId="0" xfId="13" applyFont="1" applyFill="1" applyAlignment="1">
      <alignment vertical="center" wrapText="1"/>
    </xf>
    <xf numFmtId="171" fontId="2" fillId="0" borderId="0" xfId="13" applyAlignment="1">
      <alignment vertical="center"/>
    </xf>
    <xf numFmtId="171" fontId="13" fillId="3" borderId="0" xfId="13" applyFont="1" applyFill="1" applyAlignment="1">
      <alignment vertical="center"/>
    </xf>
    <xf numFmtId="2" fontId="11" fillId="3" borderId="5" xfId="13" applyNumberFormat="1" applyFont="1" applyFill="1" applyBorder="1" applyAlignment="1">
      <alignment horizontal="center" vertical="center"/>
    </xf>
    <xf numFmtId="0" fontId="13" fillId="3" borderId="0" xfId="13" applyNumberFormat="1" applyFont="1" applyFill="1"/>
    <xf numFmtId="171" fontId="13" fillId="3" borderId="0" xfId="16" applyFont="1" applyFill="1" applyAlignment="1">
      <alignment horizontal="center" vertical="center"/>
    </xf>
    <xf numFmtId="171" fontId="13" fillId="3" borderId="0" xfId="16" applyFont="1" applyFill="1" applyAlignment="1">
      <alignment horizontal="left" vertical="center" wrapText="1"/>
    </xf>
    <xf numFmtId="0" fontId="2" fillId="0" borderId="0" xfId="13" applyNumberFormat="1"/>
    <xf numFmtId="171" fontId="13" fillId="0" borderId="2" xfId="13" applyFont="1" applyBorder="1" applyAlignment="1">
      <alignment horizontal="center"/>
    </xf>
    <xf numFmtId="171" fontId="13" fillId="3" borderId="0" xfId="13" applyFont="1" applyFill="1" applyAlignment="1">
      <alignment horizontal="center" vertical="center"/>
    </xf>
    <xf numFmtId="2" fontId="13" fillId="3" borderId="0" xfId="13" applyNumberFormat="1" applyFont="1" applyFill="1" applyAlignment="1">
      <alignment horizontal="center" vertical="center"/>
    </xf>
    <xf numFmtId="171" fontId="13" fillId="3" borderId="4" xfId="13" applyFont="1" applyFill="1" applyBorder="1" applyAlignment="1">
      <alignment horizontal="center" vertical="center"/>
    </xf>
    <xf numFmtId="2" fontId="13" fillId="3" borderId="2" xfId="13" applyNumberFormat="1" applyFont="1" applyFill="1" applyBorder="1" applyAlignment="1">
      <alignment horizontal="center" vertical="center"/>
    </xf>
    <xf numFmtId="171" fontId="13" fillId="3" borderId="2" xfId="13" applyFont="1" applyFill="1" applyBorder="1" applyAlignment="1">
      <alignment horizontal="center" vertical="center"/>
    </xf>
    <xf numFmtId="0" fontId="11" fillId="3" borderId="0" xfId="13" applyNumberFormat="1" applyFont="1" applyFill="1" applyAlignment="1">
      <alignment horizontal="center" vertical="center" wrapText="1"/>
    </xf>
    <xf numFmtId="49" fontId="11" fillId="3" borderId="0" xfId="13" applyNumberFormat="1" applyFont="1" applyFill="1" applyAlignment="1">
      <alignment horizontal="left" vertical="center" wrapText="1"/>
    </xf>
    <xf numFmtId="171" fontId="13" fillId="3" borderId="4" xfId="13" applyFont="1" applyFill="1" applyBorder="1" applyAlignment="1">
      <alignment horizontal="left" vertical="center"/>
    </xf>
    <xf numFmtId="171" fontId="13" fillId="3" borderId="2" xfId="13" applyFont="1" applyFill="1" applyBorder="1" applyAlignment="1">
      <alignment horizontal="left"/>
    </xf>
    <xf numFmtId="171" fontId="13" fillId="3" borderId="3" xfId="13" applyFont="1" applyFill="1" applyBorder="1" applyAlignment="1">
      <alignment horizontal="left"/>
    </xf>
    <xf numFmtId="2" fontId="13" fillId="3" borderId="4" xfId="13" applyNumberFormat="1" applyFont="1" applyFill="1" applyBorder="1" applyAlignment="1">
      <alignment vertical="center"/>
    </xf>
    <xf numFmtId="2" fontId="13" fillId="3" borderId="2" xfId="13" applyNumberFormat="1" applyFont="1" applyFill="1" applyBorder="1" applyAlignment="1">
      <alignment vertical="center"/>
    </xf>
    <xf numFmtId="2" fontId="13" fillId="3" borderId="3" xfId="13" applyNumberFormat="1" applyFont="1" applyFill="1" applyBorder="1" applyAlignment="1">
      <alignment vertical="center"/>
    </xf>
    <xf numFmtId="171" fontId="18" fillId="3" borderId="0" xfId="13" applyFont="1" applyFill="1" applyAlignment="1">
      <alignment horizontal="center"/>
    </xf>
    <xf numFmtId="171" fontId="11" fillId="0" borderId="0" xfId="13" applyFont="1" applyAlignment="1">
      <alignment vertical="center" wrapText="1"/>
    </xf>
    <xf numFmtId="0" fontId="5" fillId="3" borderId="0" xfId="0" applyFont="1" applyFill="1" applyAlignment="1">
      <alignment horizontal="center" vertical="center"/>
    </xf>
    <xf numFmtId="39" fontId="13" fillId="0" borderId="5" xfId="0" applyNumberFormat="1" applyFont="1" applyBorder="1" applyAlignment="1">
      <alignment horizontal="center" vertical="center" wrapText="1"/>
    </xf>
    <xf numFmtId="39" fontId="13" fillId="0" borderId="14" xfId="0" applyNumberFormat="1" applyFont="1" applyBorder="1" applyAlignment="1">
      <alignment horizontal="center" vertical="center" wrapText="1"/>
    </xf>
    <xf numFmtId="40" fontId="0" fillId="3" borderId="0" xfId="0" applyNumberFormat="1" applyFill="1"/>
    <xf numFmtId="40" fontId="3" fillId="3" borderId="0" xfId="10" applyNumberFormat="1" applyFont="1" applyFill="1" applyAlignment="1">
      <alignment horizontal="left"/>
    </xf>
    <xf numFmtId="166" fontId="13" fillId="0" borderId="45" xfId="1" applyNumberFormat="1" applyFont="1" applyFill="1" applyBorder="1" applyAlignment="1">
      <alignment horizontal="center" vertical="center" wrapText="1"/>
    </xf>
    <xf numFmtId="166" fontId="13" fillId="0" borderId="4" xfId="1" applyNumberFormat="1" applyFont="1" applyFill="1" applyBorder="1" applyAlignment="1">
      <alignment horizontal="center" vertical="center" wrapText="1"/>
    </xf>
    <xf numFmtId="166" fontId="13" fillId="0" borderId="28" xfId="1" applyNumberFormat="1" applyFont="1" applyFill="1" applyBorder="1" applyAlignment="1">
      <alignment horizontal="center" vertical="center" wrapText="1"/>
    </xf>
    <xf numFmtId="0" fontId="11" fillId="3" borderId="0" xfId="13" applyNumberFormat="1" applyFont="1" applyFill="1" applyAlignment="1">
      <alignment horizontal="left" vertical="center" wrapText="1"/>
    </xf>
    <xf numFmtId="171" fontId="11" fillId="3" borderId="0" xfId="13" applyFont="1" applyFill="1" applyAlignment="1">
      <alignment horizontal="left" vertical="center" wrapText="1"/>
    </xf>
    <xf numFmtId="0" fontId="11" fillId="0" borderId="0" xfId="13" applyNumberFormat="1" applyFont="1" applyAlignment="1">
      <alignment horizontal="left" vertical="center" wrapText="1"/>
    </xf>
    <xf numFmtId="2" fontId="11" fillId="3" borderId="0" xfId="13" applyNumberFormat="1" applyFont="1" applyFill="1" applyAlignment="1">
      <alignment horizontal="center" vertical="center"/>
    </xf>
    <xf numFmtId="0" fontId="11" fillId="0" borderId="0" xfId="13" applyNumberFormat="1" applyFont="1" applyAlignment="1">
      <alignment horizontal="left" vertical="center"/>
    </xf>
    <xf numFmtId="39" fontId="13" fillId="0" borderId="14" xfId="1" applyNumberFormat="1" applyFont="1" applyFill="1" applyBorder="1" applyAlignment="1" applyProtection="1">
      <alignment horizontal="center" vertical="center"/>
    </xf>
    <xf numFmtId="0" fontId="11" fillId="3" borderId="0" xfId="13" applyNumberFormat="1" applyFont="1" applyFill="1" applyAlignment="1">
      <alignment vertical="center" wrapText="1"/>
    </xf>
    <xf numFmtId="4" fontId="11" fillId="3" borderId="0" xfId="13" applyNumberFormat="1" applyFont="1" applyFill="1" applyAlignment="1">
      <alignment vertical="center"/>
    </xf>
    <xf numFmtId="2" fontId="20" fillId="0" borderId="0" xfId="16" applyNumberFormat="1" applyFont="1" applyAlignment="1">
      <alignment horizontal="left" vertical="center"/>
    </xf>
    <xf numFmtId="39" fontId="13" fillId="0" borderId="13" xfId="0" applyNumberFormat="1" applyFont="1" applyBorder="1" applyAlignment="1">
      <alignment horizontal="center" vertical="center" wrapText="1"/>
    </xf>
    <xf numFmtId="171" fontId="2" fillId="10" borderId="0" xfId="13" applyFill="1"/>
    <xf numFmtId="40" fontId="13" fillId="8" borderId="2" xfId="13" applyNumberFormat="1" applyFont="1" applyFill="1" applyBorder="1" applyAlignment="1">
      <alignment horizontal="center" vertical="center"/>
    </xf>
    <xf numFmtId="40" fontId="13" fillId="8" borderId="3" xfId="13" applyNumberFormat="1" applyFont="1" applyFill="1" applyBorder="1" applyAlignment="1">
      <alignment horizontal="center" vertical="center"/>
    </xf>
    <xf numFmtId="40" fontId="13" fillId="8" borderId="4" xfId="13" applyNumberFormat="1" applyFont="1" applyFill="1" applyBorder="1" applyAlignment="1">
      <alignment horizontal="center" vertical="center"/>
    </xf>
    <xf numFmtId="0" fontId="2" fillId="3" borderId="0" xfId="3" applyFill="1"/>
    <xf numFmtId="0" fontId="2" fillId="3" borderId="0" xfId="3" applyFill="1" applyAlignment="1">
      <alignment horizontal="center"/>
    </xf>
    <xf numFmtId="0" fontId="0" fillId="10" borderId="0" xfId="0" applyFill="1"/>
    <xf numFmtId="10" fontId="3" fillId="0" borderId="73" xfId="0" applyNumberFormat="1" applyFont="1" applyBorder="1" applyAlignment="1">
      <alignment horizontal="center" vertical="center"/>
    </xf>
    <xf numFmtId="0" fontId="12" fillId="0" borderId="11" xfId="0" applyFont="1" applyBorder="1"/>
    <xf numFmtId="0" fontId="12" fillId="0" borderId="0" xfId="0" applyFont="1"/>
    <xf numFmtId="0" fontId="2" fillId="0" borderId="9" xfId="0" applyFont="1" applyBorder="1"/>
    <xf numFmtId="0" fontId="2" fillId="0" borderId="10" xfId="0" applyFont="1" applyBorder="1"/>
    <xf numFmtId="10" fontId="3" fillId="0" borderId="81" xfId="8" applyNumberFormat="1" applyFont="1" applyFill="1" applyBorder="1" applyAlignment="1" applyProtection="1">
      <alignment horizontal="center"/>
    </xf>
    <xf numFmtId="168" fontId="13" fillId="0" borderId="14" xfId="1" applyNumberFormat="1" applyFont="1" applyFill="1" applyBorder="1" applyAlignment="1">
      <alignment horizontal="center" vertical="center"/>
    </xf>
    <xf numFmtId="49" fontId="5" fillId="3" borderId="0" xfId="0" applyNumberFormat="1" applyFont="1" applyFill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40" fontId="2" fillId="7" borderId="2" xfId="6" applyNumberFormat="1" applyFill="1" applyBorder="1" applyAlignment="1">
      <alignment horizontal="center"/>
    </xf>
    <xf numFmtId="0" fontId="25" fillId="3" borderId="45" xfId="21" applyFont="1" applyFill="1" applyBorder="1" applyAlignment="1">
      <alignment horizontal="center" vertical="center" wrapText="1"/>
    </xf>
    <xf numFmtId="0" fontId="25" fillId="3" borderId="13" xfId="21" applyFont="1" applyFill="1" applyBorder="1" applyAlignment="1">
      <alignment horizontal="center" vertical="center" wrapText="1"/>
    </xf>
    <xf numFmtId="0" fontId="25" fillId="0" borderId="13" xfId="21" applyFont="1" applyBorder="1" applyAlignment="1">
      <alignment vertical="center" wrapText="1"/>
    </xf>
    <xf numFmtId="2" fontId="25" fillId="3" borderId="13" xfId="21" applyNumberFormat="1" applyFont="1" applyFill="1" applyBorder="1" applyAlignment="1">
      <alignment horizontal="center" vertical="center" wrapText="1"/>
    </xf>
    <xf numFmtId="0" fontId="25" fillId="3" borderId="4" xfId="21" applyFont="1" applyFill="1" applyBorder="1" applyAlignment="1">
      <alignment horizontal="center" vertical="center" wrapText="1"/>
    </xf>
    <xf numFmtId="0" fontId="25" fillId="3" borderId="5" xfId="21" applyFont="1" applyFill="1" applyBorder="1" applyAlignment="1">
      <alignment horizontal="center" vertical="center" wrapText="1"/>
    </xf>
    <xf numFmtId="0" fontId="25" fillId="0" borderId="5" xfId="21" applyFont="1" applyBorder="1" applyAlignment="1">
      <alignment vertical="center" wrapText="1"/>
    </xf>
    <xf numFmtId="2" fontId="25" fillId="3" borderId="5" xfId="21" applyNumberFormat="1" applyFont="1" applyFill="1" applyBorder="1" applyAlignment="1">
      <alignment horizontal="center" vertical="center" wrapText="1"/>
    </xf>
    <xf numFmtId="0" fontId="25" fillId="0" borderId="2" xfId="21" applyFont="1" applyBorder="1" applyAlignment="1">
      <alignment vertical="center" wrapText="1"/>
    </xf>
    <xf numFmtId="171" fontId="11" fillId="3" borderId="0" xfId="13" applyFont="1" applyFill="1" applyAlignment="1">
      <alignment horizontal="left" vertical="center"/>
    </xf>
    <xf numFmtId="0" fontId="4" fillId="3" borderId="0" xfId="0" applyFont="1" applyFill="1" applyAlignment="1">
      <alignment horizontal="center" vertical="center"/>
    </xf>
    <xf numFmtId="40" fontId="13" fillId="3" borderId="0" xfId="6" applyNumberFormat="1" applyFont="1" applyFill="1" applyAlignment="1">
      <alignment horizontal="center" wrapText="1"/>
    </xf>
    <xf numFmtId="40" fontId="11" fillId="3" borderId="0" xfId="6" applyNumberFormat="1" applyFont="1" applyFill="1" applyAlignment="1">
      <alignment horizontal="left" wrapText="1"/>
    </xf>
    <xf numFmtId="40" fontId="13" fillId="3" borderId="0" xfId="6" applyNumberFormat="1" applyFont="1" applyFill="1" applyAlignment="1">
      <alignment horizontal="left" wrapText="1"/>
    </xf>
    <xf numFmtId="40" fontId="11" fillId="3" borderId="0" xfId="6" applyNumberFormat="1" applyFont="1" applyFill="1" applyAlignment="1">
      <alignment horizontal="left"/>
    </xf>
    <xf numFmtId="49" fontId="13" fillId="0" borderId="2" xfId="3" applyNumberFormat="1" applyFont="1" applyBorder="1" applyAlignment="1">
      <alignment horizontal="left" vertical="center" wrapText="1"/>
    </xf>
    <xf numFmtId="0" fontId="25" fillId="3" borderId="32" xfId="3" applyFont="1" applyFill="1" applyBorder="1" applyAlignment="1">
      <alignment horizontal="center" vertical="center" wrapText="1"/>
    </xf>
    <xf numFmtId="0" fontId="25" fillId="0" borderId="5" xfId="21" applyFont="1" applyBorder="1" applyAlignment="1">
      <alignment horizontal="center" vertical="center" wrapText="1"/>
    </xf>
    <xf numFmtId="40" fontId="25" fillId="3" borderId="5" xfId="0" applyNumberFormat="1" applyFont="1" applyFill="1" applyBorder="1" applyAlignment="1">
      <alignment horizontal="center" vertical="center"/>
    </xf>
    <xf numFmtId="49" fontId="25" fillId="0" borderId="5" xfId="3" applyNumberFormat="1" applyFont="1" applyBorder="1" applyAlignment="1">
      <alignment horizontal="center" vertical="center" wrapText="1"/>
    </xf>
    <xf numFmtId="49" fontId="25" fillId="0" borderId="5" xfId="3" applyNumberFormat="1" applyFont="1" applyBorder="1" applyAlignment="1">
      <alignment horizontal="left" vertical="center" wrapText="1"/>
    </xf>
    <xf numFmtId="4" fontId="25" fillId="3" borderId="5" xfId="0" applyNumberFormat="1" applyFont="1" applyFill="1" applyBorder="1" applyAlignment="1">
      <alignment horizontal="left" vertical="center" wrapText="1"/>
    </xf>
    <xf numFmtId="0" fontId="25" fillId="0" borderId="5" xfId="0" applyFont="1" applyBorder="1" applyAlignment="1">
      <alignment horizontal="center" vertical="center" wrapText="1"/>
    </xf>
    <xf numFmtId="173" fontId="25" fillId="3" borderId="5" xfId="1" applyNumberFormat="1" applyFont="1" applyFill="1" applyBorder="1" applyAlignment="1" applyProtection="1">
      <alignment horizontal="center" vertical="center" wrapText="1"/>
    </xf>
    <xf numFmtId="8" fontId="25" fillId="0" borderId="18" xfId="0" applyNumberFormat="1" applyFont="1" applyBorder="1" applyAlignment="1">
      <alignment horizontal="right" vertical="center" wrapText="1"/>
    </xf>
    <xf numFmtId="0" fontId="25" fillId="3" borderId="5" xfId="3" applyFont="1" applyFill="1" applyBorder="1" applyAlignment="1">
      <alignment horizontal="center" vertical="center"/>
    </xf>
    <xf numFmtId="0" fontId="11" fillId="13" borderId="24" xfId="6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1" fillId="13" borderId="22" xfId="6" applyFont="1" applyFill="1" applyBorder="1" applyAlignment="1">
      <alignment vertical="center" wrapText="1"/>
    </xf>
    <xf numFmtId="0" fontId="11" fillId="3" borderId="0" xfId="6" applyFont="1" applyFill="1" applyAlignment="1">
      <alignment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9" fontId="11" fillId="13" borderId="5" xfId="7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vertical="center" wrapText="1"/>
    </xf>
    <xf numFmtId="0" fontId="11" fillId="13" borderId="14" xfId="0" applyFont="1" applyFill="1" applyBorder="1" applyAlignment="1">
      <alignment horizontal="center" vertical="center" wrapText="1"/>
    </xf>
    <xf numFmtId="39" fontId="11" fillId="13" borderId="14" xfId="1" applyNumberFormat="1" applyFont="1" applyFill="1" applyBorder="1" applyAlignment="1">
      <alignment horizontal="center" vertical="center" wrapText="1"/>
    </xf>
    <xf numFmtId="0" fontId="11" fillId="13" borderId="14" xfId="1" applyNumberFormat="1" applyFont="1" applyFill="1" applyBorder="1" applyAlignment="1">
      <alignment horizontal="center" vertical="center" wrapText="1"/>
    </xf>
    <xf numFmtId="0" fontId="11" fillId="13" borderId="4" xfId="0" applyFont="1" applyFill="1" applyBorder="1" applyAlignment="1">
      <alignment horizontal="left" vertical="center" wrapText="1"/>
    </xf>
    <xf numFmtId="0" fontId="11" fillId="13" borderId="2" xfId="0" applyFont="1" applyFill="1" applyBorder="1" applyAlignment="1">
      <alignment vertical="center" wrapText="1"/>
    </xf>
    <xf numFmtId="39" fontId="11" fillId="13" borderId="2" xfId="1" applyNumberFormat="1" applyFont="1" applyFill="1" applyBorder="1" applyAlignment="1">
      <alignment horizontal="center" vertical="center" wrapText="1"/>
    </xf>
    <xf numFmtId="164" fontId="11" fillId="13" borderId="2" xfId="1" applyNumberFormat="1" applyFont="1" applyFill="1" applyBorder="1" applyAlignment="1">
      <alignment vertical="center" wrapText="1"/>
    </xf>
    <xf numFmtId="40" fontId="11" fillId="13" borderId="2" xfId="0" applyNumberFormat="1" applyFont="1" applyFill="1" applyBorder="1" applyAlignment="1">
      <alignment horizontal="left" vertical="center" wrapText="1"/>
    </xf>
    <xf numFmtId="164" fontId="11" fillId="13" borderId="2" xfId="1" applyNumberFormat="1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left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1" fillId="13" borderId="23" xfId="0" applyFont="1" applyFill="1" applyBorder="1" applyAlignment="1">
      <alignment horizontal="left" vertical="center" wrapText="1"/>
    </xf>
    <xf numFmtId="39" fontId="11" fillId="13" borderId="25" xfId="1" applyNumberFormat="1" applyFont="1" applyFill="1" applyBorder="1" applyAlignment="1">
      <alignment horizontal="center" vertical="center" wrapText="1"/>
    </xf>
    <xf numFmtId="164" fontId="11" fillId="13" borderId="25" xfId="1" applyNumberFormat="1" applyFont="1" applyFill="1" applyBorder="1" applyAlignment="1">
      <alignment horizontal="center" vertical="center" wrapText="1"/>
    </xf>
    <xf numFmtId="49" fontId="11" fillId="13" borderId="25" xfId="3" applyNumberFormat="1" applyFont="1" applyFill="1" applyBorder="1" applyAlignment="1">
      <alignment horizontal="left" vertical="center" wrapText="1"/>
    </xf>
    <xf numFmtId="39" fontId="13" fillId="13" borderId="25" xfId="0" applyNumberFormat="1" applyFont="1" applyFill="1" applyBorder="1" applyAlignment="1">
      <alignment horizontal="center" vertical="center" wrapText="1"/>
    </xf>
    <xf numFmtId="0" fontId="11" fillId="13" borderId="51" xfId="0" applyFont="1" applyFill="1" applyBorder="1" applyAlignment="1">
      <alignment vertical="center" wrapText="1"/>
    </xf>
    <xf numFmtId="0" fontId="11" fillId="13" borderId="52" xfId="0" applyFont="1" applyFill="1" applyBorder="1" applyAlignment="1">
      <alignment horizontal="left" vertical="center" wrapText="1"/>
    </xf>
    <xf numFmtId="0" fontId="11" fillId="13" borderId="52" xfId="0" applyFont="1" applyFill="1" applyBorder="1" applyAlignment="1">
      <alignment horizontal="center" vertical="center" wrapText="1"/>
    </xf>
    <xf numFmtId="0" fontId="11" fillId="13" borderId="52" xfId="0" applyFont="1" applyFill="1" applyBorder="1" applyAlignment="1">
      <alignment vertical="center" wrapText="1"/>
    </xf>
    <xf numFmtId="49" fontId="11" fillId="8" borderId="26" xfId="0" applyNumberFormat="1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left" vertical="center"/>
    </xf>
    <xf numFmtId="0" fontId="13" fillId="8" borderId="0" xfId="0" applyFont="1" applyFill="1" applyAlignment="1">
      <alignment horizontal="center" vertical="center"/>
    </xf>
    <xf numFmtId="49" fontId="11" fillId="8" borderId="2" xfId="0" applyNumberFormat="1" applyFont="1" applyFill="1" applyBorder="1" applyAlignment="1">
      <alignment vertical="center" wrapText="1"/>
    </xf>
    <xf numFmtId="8" fontId="13" fillId="8" borderId="26" xfId="0" applyNumberFormat="1" applyFont="1" applyFill="1" applyBorder="1" applyAlignment="1">
      <alignment horizontal="center" vertical="center"/>
    </xf>
    <xf numFmtId="8" fontId="13" fillId="8" borderId="46" xfId="0" applyNumberFormat="1" applyFont="1" applyFill="1" applyBorder="1" applyAlignment="1">
      <alignment horizontal="right" vertical="center"/>
    </xf>
    <xf numFmtId="49" fontId="11" fillId="8" borderId="25" xfId="0" applyNumberFormat="1" applyFont="1" applyFill="1" applyBorder="1" applyAlignment="1">
      <alignment horizontal="center" vertical="center" wrapText="1"/>
    </xf>
    <xf numFmtId="0" fontId="11" fillId="8" borderId="23" xfId="0" applyFont="1" applyFill="1" applyBorder="1" applyAlignment="1">
      <alignment horizontal="left" vertical="center"/>
    </xf>
    <xf numFmtId="0" fontId="11" fillId="8" borderId="25" xfId="0" applyFont="1" applyFill="1" applyBorder="1" applyAlignment="1">
      <alignment horizontal="center" vertical="center"/>
    </xf>
    <xf numFmtId="49" fontId="11" fillId="8" borderId="25" xfId="0" applyNumberFormat="1" applyFont="1" applyFill="1" applyBorder="1" applyAlignment="1">
      <alignment horizontal="left" vertical="center" wrapText="1"/>
    </xf>
    <xf numFmtId="0" fontId="13" fillId="8" borderId="2" xfId="3" applyFont="1" applyFill="1" applyBorder="1" applyAlignment="1">
      <alignment horizontal="center" vertical="center"/>
    </xf>
    <xf numFmtId="39" fontId="13" fillId="8" borderId="2" xfId="0" applyNumberFormat="1" applyFont="1" applyFill="1" applyBorder="1" applyAlignment="1">
      <alignment horizontal="center" vertical="center" wrapText="1"/>
    </xf>
    <xf numFmtId="0" fontId="11" fillId="8" borderId="26" xfId="0" applyFont="1" applyFill="1" applyBorder="1" applyAlignment="1">
      <alignment horizontal="center" vertical="center" wrapText="1"/>
    </xf>
    <xf numFmtId="0" fontId="11" fillId="8" borderId="26" xfId="0" applyFont="1" applyFill="1" applyBorder="1" applyAlignment="1">
      <alignment vertical="center" wrapText="1"/>
    </xf>
    <xf numFmtId="39" fontId="11" fillId="8" borderId="26" xfId="1" applyNumberFormat="1" applyFont="1" applyFill="1" applyBorder="1" applyAlignment="1">
      <alignment horizontal="center" vertical="center" wrapText="1"/>
    </xf>
    <xf numFmtId="164" fontId="11" fillId="8" borderId="26" xfId="1" applyNumberFormat="1" applyFont="1" applyFill="1" applyBorder="1" applyAlignment="1">
      <alignment horizontal="center" vertical="center" wrapText="1"/>
    </xf>
    <xf numFmtId="0" fontId="13" fillId="8" borderId="45" xfId="0" applyFont="1" applyFill="1" applyBorder="1" applyAlignment="1">
      <alignment horizontal="left" vertical="center" wrapText="1"/>
    </xf>
    <xf numFmtId="0" fontId="13" fillId="8" borderId="26" xfId="0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left" vertical="center" wrapText="1"/>
    </xf>
    <xf numFmtId="0" fontId="13" fillId="8" borderId="2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center" vertical="center" wrapText="1"/>
    </xf>
    <xf numFmtId="49" fontId="11" fillId="8" borderId="2" xfId="3" applyNumberFormat="1" applyFont="1" applyFill="1" applyBorder="1" applyAlignment="1">
      <alignment horizontal="left" vertical="center" wrapText="1"/>
    </xf>
    <xf numFmtId="0" fontId="11" fillId="8" borderId="2" xfId="0" applyFont="1" applyFill="1" applyBorder="1" applyAlignment="1">
      <alignment horizontal="left" vertical="center" wrapText="1"/>
    </xf>
    <xf numFmtId="165" fontId="11" fillId="8" borderId="2" xfId="1" applyFont="1" applyFill="1" applyBorder="1" applyAlignment="1">
      <alignment horizontal="center" vertical="center" wrapText="1"/>
    </xf>
    <xf numFmtId="165" fontId="13" fillId="8" borderId="2" xfId="1" applyFont="1" applyFill="1" applyBorder="1" applyAlignment="1">
      <alignment horizontal="center" vertical="center" wrapText="1"/>
    </xf>
    <xf numFmtId="166" fontId="13" fillId="8" borderId="2" xfId="1" applyNumberFormat="1" applyFont="1" applyFill="1" applyBorder="1" applyAlignment="1">
      <alignment horizontal="center" vertical="center" wrapText="1"/>
    </xf>
    <xf numFmtId="0" fontId="11" fillId="13" borderId="4" xfId="6" applyFont="1" applyFill="1" applyBorder="1" applyAlignment="1">
      <alignment vertical="center"/>
    </xf>
    <xf numFmtId="44" fontId="11" fillId="3" borderId="0" xfId="6" applyNumberFormat="1" applyFont="1" applyFill="1" applyAlignment="1">
      <alignment vertical="center"/>
    </xf>
    <xf numFmtId="44" fontId="11" fillId="3" borderId="0" xfId="6" applyNumberFormat="1" applyFont="1" applyFill="1" applyAlignment="1">
      <alignment horizontal="right" vertical="center"/>
    </xf>
    <xf numFmtId="4" fontId="11" fillId="13" borderId="4" xfId="6" applyNumberFormat="1" applyFont="1" applyFill="1" applyBorder="1" applyAlignment="1">
      <alignment vertical="center" wrapText="1"/>
    </xf>
    <xf numFmtId="0" fontId="11" fillId="3" borderId="0" xfId="6" applyFont="1" applyFill="1" applyAlignment="1">
      <alignment vertical="center"/>
    </xf>
    <xf numFmtId="167" fontId="11" fillId="3" borderId="0" xfId="6" applyNumberFormat="1" applyFont="1" applyFill="1" applyAlignment="1">
      <alignment vertical="center" wrapText="1"/>
    </xf>
    <xf numFmtId="14" fontId="11" fillId="3" borderId="0" xfId="6" applyNumberFormat="1" applyFont="1" applyFill="1" applyAlignment="1">
      <alignment vertical="center" wrapText="1"/>
    </xf>
    <xf numFmtId="0" fontId="11" fillId="13" borderId="0" xfId="0" applyFont="1" applyFill="1" applyAlignment="1">
      <alignment vertical="center" wrapText="1"/>
    </xf>
    <xf numFmtId="44" fontId="11" fillId="3" borderId="0" xfId="6" applyNumberFormat="1" applyFont="1" applyFill="1" applyAlignment="1">
      <alignment horizontal="left" vertical="center"/>
    </xf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2" fillId="3" borderId="1" xfId="0" applyFont="1" applyFill="1" applyBorder="1"/>
    <xf numFmtId="10" fontId="3" fillId="3" borderId="11" xfId="0" applyNumberFormat="1" applyFont="1" applyFill="1" applyBorder="1" applyAlignment="1">
      <alignment horizontal="center"/>
    </xf>
    <xf numFmtId="0" fontId="3" fillId="3" borderId="1" xfId="0" applyFont="1" applyFill="1" applyBorder="1"/>
    <xf numFmtId="0" fontId="2" fillId="3" borderId="11" xfId="0" applyFont="1" applyFill="1" applyBorder="1"/>
    <xf numFmtId="0" fontId="2" fillId="3" borderId="59" xfId="0" applyFont="1" applyFill="1" applyBorder="1"/>
    <xf numFmtId="0" fontId="2" fillId="3" borderId="77" xfId="0" applyFont="1" applyFill="1" applyBorder="1"/>
    <xf numFmtId="0" fontId="2" fillId="3" borderId="67" xfId="0" applyFont="1" applyFill="1" applyBorder="1"/>
    <xf numFmtId="0" fontId="12" fillId="3" borderId="1" xfId="0" applyFont="1" applyFill="1" applyBorder="1"/>
    <xf numFmtId="0" fontId="12" fillId="3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0" xfId="0" applyFont="1" applyFill="1"/>
    <xf numFmtId="2" fontId="2" fillId="3" borderId="11" xfId="0" applyNumberFormat="1" applyFont="1" applyFill="1" applyBorder="1"/>
    <xf numFmtId="0" fontId="2" fillId="3" borderId="78" xfId="0" applyFont="1" applyFill="1" applyBorder="1" applyAlignment="1">
      <alignment horizontal="center"/>
    </xf>
    <xf numFmtId="0" fontId="2" fillId="3" borderId="40" xfId="0" applyFont="1" applyFill="1" applyBorder="1"/>
    <xf numFmtId="0" fontId="2" fillId="3" borderId="36" xfId="0" applyFont="1" applyFill="1" applyBorder="1"/>
    <xf numFmtId="0" fontId="2" fillId="3" borderId="79" xfId="0" applyFont="1" applyFill="1" applyBorder="1"/>
    <xf numFmtId="10" fontId="2" fillId="3" borderId="80" xfId="8" applyNumberFormat="1" applyFont="1" applyFill="1" applyBorder="1" applyAlignment="1" applyProtection="1">
      <alignment horizontal="center"/>
    </xf>
    <xf numFmtId="0" fontId="2" fillId="3" borderId="69" xfId="0" applyFont="1" applyFill="1" applyBorder="1" applyAlignment="1">
      <alignment horizontal="center"/>
    </xf>
    <xf numFmtId="0" fontId="2" fillId="3" borderId="34" xfId="0" applyFont="1" applyFill="1" applyBorder="1"/>
    <xf numFmtId="10" fontId="2" fillId="3" borderId="71" xfId="8" applyNumberFormat="1" applyFont="1" applyFill="1" applyBorder="1" applyAlignment="1" applyProtection="1">
      <alignment horizontal="center"/>
    </xf>
    <xf numFmtId="0" fontId="2" fillId="3" borderId="35" xfId="0" applyFont="1" applyFill="1" applyBorder="1"/>
    <xf numFmtId="10" fontId="2" fillId="3" borderId="71" xfId="0" applyNumberFormat="1" applyFont="1" applyFill="1" applyBorder="1" applyAlignment="1">
      <alignment horizontal="center"/>
    </xf>
    <xf numFmtId="0" fontId="2" fillId="3" borderId="70" xfId="0" applyFont="1" applyFill="1" applyBorder="1" applyAlignment="1">
      <alignment horizontal="center"/>
    </xf>
    <xf numFmtId="0" fontId="2" fillId="3" borderId="38" xfId="0" applyFont="1" applyFill="1" applyBorder="1"/>
    <xf numFmtId="0" fontId="2" fillId="3" borderId="39" xfId="0" applyFont="1" applyFill="1" applyBorder="1"/>
    <xf numFmtId="0" fontId="2" fillId="3" borderId="42" xfId="0" applyFont="1" applyFill="1" applyBorder="1"/>
    <xf numFmtId="10" fontId="2" fillId="3" borderId="72" xfId="8" applyNumberFormat="1" applyFont="1" applyFill="1" applyBorder="1" applyAlignment="1" applyProtection="1">
      <alignment horizontal="center"/>
    </xf>
    <xf numFmtId="0" fontId="2" fillId="3" borderId="1" xfId="0" applyFont="1" applyFill="1" applyBorder="1" applyAlignment="1">
      <alignment horizontal="center"/>
    </xf>
    <xf numFmtId="10" fontId="2" fillId="3" borderId="11" xfId="0" applyNumberFormat="1" applyFont="1" applyFill="1" applyBorder="1"/>
    <xf numFmtId="0" fontId="4" fillId="12" borderId="9" xfId="6" applyFont="1" applyFill="1" applyBorder="1" applyAlignment="1">
      <alignment horizontal="center" vertical="center" wrapText="1"/>
    </xf>
    <xf numFmtId="0" fontId="4" fillId="12" borderId="10" xfId="6" applyFont="1" applyFill="1" applyBorder="1" applyAlignment="1">
      <alignment horizontal="center" vertical="center" wrapText="1"/>
    </xf>
    <xf numFmtId="0" fontId="4" fillId="12" borderId="54" xfId="6" applyFont="1" applyFill="1" applyBorder="1" applyAlignment="1">
      <alignment horizontal="center" vertical="center" wrapText="1"/>
    </xf>
    <xf numFmtId="0" fontId="17" fillId="3" borderId="0" xfId="0" applyFont="1" applyFill="1"/>
    <xf numFmtId="0" fontId="5" fillId="3" borderId="0" xfId="0" applyFont="1" applyFill="1" applyAlignment="1">
      <alignment horizontal="left"/>
    </xf>
    <xf numFmtId="40" fontId="11" fillId="3" borderId="0" xfId="6" applyNumberFormat="1" applyFont="1" applyFill="1" applyAlignment="1">
      <alignment wrapText="1"/>
    </xf>
    <xf numFmtId="40" fontId="11" fillId="3" borderId="0" xfId="6" applyNumberFormat="1" applyFont="1" applyFill="1" applyAlignment="1">
      <alignment horizontal="left" vertical="center"/>
    </xf>
    <xf numFmtId="0" fontId="4" fillId="3" borderId="0" xfId="14" applyFont="1" applyFill="1"/>
    <xf numFmtId="0" fontId="5" fillId="3" borderId="0" xfId="14" applyFont="1" applyFill="1"/>
    <xf numFmtId="0" fontId="11" fillId="3" borderId="0" xfId="13" applyNumberFormat="1" applyFont="1" applyFill="1" applyAlignment="1">
      <alignment horizontal="center"/>
    </xf>
    <xf numFmtId="175" fontId="13" fillId="3" borderId="0" xfId="13" applyNumberFormat="1" applyFont="1" applyFill="1" applyAlignment="1">
      <alignment horizontal="center"/>
    </xf>
    <xf numFmtId="10" fontId="5" fillId="3" borderId="0" xfId="14" applyNumberFormat="1" applyFont="1" applyFill="1"/>
    <xf numFmtId="0" fontId="11" fillId="3" borderId="0" xfId="13" applyNumberFormat="1" applyFont="1" applyFill="1" applyAlignment="1">
      <alignment horizontal="left" wrapText="1"/>
    </xf>
    <xf numFmtId="0" fontId="4" fillId="12" borderId="10" xfId="6" applyFont="1" applyFill="1" applyBorder="1" applyAlignment="1">
      <alignment vertical="center" wrapText="1"/>
    </xf>
    <xf numFmtId="0" fontId="4" fillId="12" borderId="0" xfId="6" applyFont="1" applyFill="1" applyAlignment="1">
      <alignment vertical="center" wrapText="1"/>
    </xf>
    <xf numFmtId="0" fontId="4" fillId="12" borderId="0" xfId="6" applyFont="1" applyFill="1" applyAlignment="1">
      <alignment horizontal="center" vertical="center" wrapText="1"/>
    </xf>
    <xf numFmtId="0" fontId="11" fillId="3" borderId="0" xfId="0" applyFont="1" applyFill="1" applyAlignment="1">
      <alignment vertical="center" wrapText="1"/>
    </xf>
    <xf numFmtId="40" fontId="13" fillId="6" borderId="4" xfId="6" applyNumberFormat="1" applyFont="1" applyFill="1" applyBorder="1" applyAlignment="1">
      <alignment horizontal="center"/>
    </xf>
    <xf numFmtId="40" fontId="13" fillId="6" borderId="3" xfId="6" applyNumberFormat="1" applyFont="1" applyFill="1" applyBorder="1" applyAlignment="1">
      <alignment horizontal="center"/>
    </xf>
    <xf numFmtId="0" fontId="19" fillId="3" borderId="1" xfId="0" applyFont="1" applyFill="1" applyBorder="1" applyAlignment="1">
      <alignment vertical="center"/>
    </xf>
    <xf numFmtId="0" fontId="19" fillId="3" borderId="0" xfId="0" applyFont="1" applyFill="1" applyAlignment="1">
      <alignment vertical="center"/>
    </xf>
    <xf numFmtId="0" fontId="4" fillId="12" borderId="1" xfId="6" applyFont="1" applyFill="1" applyBorder="1" applyAlignment="1">
      <alignment horizontal="center" vertical="center" wrapText="1"/>
    </xf>
    <xf numFmtId="0" fontId="4" fillId="12" borderId="9" xfId="6" applyFont="1" applyFill="1" applyBorder="1" applyAlignment="1">
      <alignment vertical="center" wrapText="1"/>
    </xf>
    <xf numFmtId="172" fontId="0" fillId="3" borderId="0" xfId="0" applyNumberFormat="1" applyFill="1"/>
    <xf numFmtId="0" fontId="11" fillId="13" borderId="32" xfId="6" applyFont="1" applyFill="1" applyBorder="1" applyAlignment="1">
      <alignment vertical="center" wrapText="1"/>
    </xf>
    <xf numFmtId="0" fontId="13" fillId="3" borderId="0" xfId="3" applyFont="1" applyFill="1"/>
    <xf numFmtId="0" fontId="13" fillId="3" borderId="5" xfId="3" applyFont="1" applyFill="1" applyBorder="1" applyAlignment="1">
      <alignment horizontal="left"/>
    </xf>
    <xf numFmtId="9" fontId="13" fillId="3" borderId="14" xfId="3" applyNumberFormat="1" applyFont="1" applyFill="1" applyBorder="1" applyAlignment="1">
      <alignment horizontal="center"/>
    </xf>
    <xf numFmtId="8" fontId="13" fillId="3" borderId="13" xfId="3" applyNumberFormat="1" applyFont="1" applyFill="1" applyBorder="1" applyAlignment="1">
      <alignment horizontal="center"/>
    </xf>
    <xf numFmtId="8" fontId="13" fillId="3" borderId="57" xfId="3" applyNumberFormat="1" applyFont="1" applyFill="1" applyBorder="1" applyAlignment="1">
      <alignment horizontal="center"/>
    </xf>
    <xf numFmtId="0" fontId="13" fillId="3" borderId="65" xfId="3" applyFont="1" applyFill="1" applyBorder="1" applyAlignment="1">
      <alignment horizontal="center"/>
    </xf>
    <xf numFmtId="0" fontId="13" fillId="3" borderId="3" xfId="3" applyFont="1" applyFill="1" applyBorder="1" applyAlignment="1">
      <alignment horizontal="left"/>
    </xf>
    <xf numFmtId="10" fontId="13" fillId="3" borderId="14" xfId="3" applyNumberFormat="1" applyFont="1" applyFill="1" applyBorder="1" applyAlignment="1">
      <alignment horizontal="center"/>
    </xf>
    <xf numFmtId="0" fontId="13" fillId="3" borderId="14" xfId="3" applyFont="1" applyFill="1" applyBorder="1"/>
    <xf numFmtId="0" fontId="13" fillId="3" borderId="65" xfId="3" applyFont="1" applyFill="1" applyBorder="1"/>
    <xf numFmtId="0" fontId="13" fillId="3" borderId="13" xfId="3" applyFont="1" applyFill="1" applyBorder="1"/>
    <xf numFmtId="8" fontId="13" fillId="3" borderId="14" xfId="3" applyNumberFormat="1" applyFont="1" applyFill="1" applyBorder="1" applyAlignment="1">
      <alignment horizontal="center"/>
    </xf>
    <xf numFmtId="8" fontId="13" fillId="3" borderId="65" xfId="3" applyNumberFormat="1" applyFont="1" applyFill="1" applyBorder="1" applyAlignment="1">
      <alignment horizontal="center"/>
    </xf>
    <xf numFmtId="0" fontId="11" fillId="3" borderId="56" xfId="3" applyFont="1" applyFill="1" applyBorder="1" applyAlignment="1">
      <alignment horizontal="center"/>
    </xf>
    <xf numFmtId="44" fontId="11" fillId="3" borderId="5" xfId="3" applyNumberFormat="1" applyFont="1" applyFill="1" applyBorder="1" applyAlignment="1">
      <alignment horizontal="left"/>
    </xf>
    <xf numFmtId="0" fontId="11" fillId="3" borderId="24" xfId="3" applyFont="1" applyFill="1" applyBorder="1" applyAlignment="1">
      <alignment horizontal="center"/>
    </xf>
    <xf numFmtId="0" fontId="13" fillId="3" borderId="24" xfId="3" applyFont="1" applyFill="1" applyBorder="1" applyAlignment="1">
      <alignment horizontal="center"/>
    </xf>
    <xf numFmtId="0" fontId="13" fillId="3" borderId="5" xfId="3" applyFont="1" applyFill="1" applyBorder="1"/>
    <xf numFmtId="10" fontId="13" fillId="3" borderId="5" xfId="7" applyNumberFormat="1" applyFont="1" applyFill="1" applyBorder="1" applyAlignment="1">
      <alignment horizontal="center"/>
    </xf>
    <xf numFmtId="0" fontId="13" fillId="3" borderId="19" xfId="3" applyFont="1" applyFill="1" applyBorder="1" applyAlignment="1">
      <alignment horizontal="center"/>
    </xf>
    <xf numFmtId="0" fontId="13" fillId="3" borderId="20" xfId="3" applyFont="1" applyFill="1" applyBorder="1"/>
    <xf numFmtId="9" fontId="13" fillId="5" borderId="20" xfId="8" applyFont="1" applyFill="1" applyBorder="1" applyAlignment="1" applyProtection="1">
      <alignment horizontal="center" vertical="center"/>
    </xf>
    <xf numFmtId="0" fontId="13" fillId="3" borderId="0" xfId="3" applyFont="1" applyFill="1" applyAlignment="1">
      <alignment horizontal="center"/>
    </xf>
    <xf numFmtId="44" fontId="13" fillId="3" borderId="0" xfId="2" applyFont="1" applyFill="1"/>
    <xf numFmtId="44" fontId="13" fillId="3" borderId="0" xfId="3" applyNumberFormat="1" applyFont="1" applyFill="1"/>
    <xf numFmtId="0" fontId="25" fillId="3" borderId="5" xfId="3" applyFont="1" applyFill="1" applyBorder="1" applyAlignment="1">
      <alignment horizontal="left" vertical="center" wrapText="1"/>
    </xf>
    <xf numFmtId="0" fontId="25" fillId="3" borderId="5" xfId="3" applyFont="1" applyFill="1" applyBorder="1" applyAlignment="1">
      <alignment horizontal="center" vertical="center" wrapText="1"/>
    </xf>
    <xf numFmtId="4" fontId="25" fillId="3" borderId="5" xfId="3" applyNumberFormat="1" applyFont="1" applyFill="1" applyBorder="1" applyAlignment="1">
      <alignment horizontal="center" vertical="center" wrapText="1"/>
    </xf>
    <xf numFmtId="170" fontId="25" fillId="3" borderId="5" xfId="3" applyNumberFormat="1" applyFont="1" applyFill="1" applyBorder="1" applyAlignment="1">
      <alignment horizontal="center" vertical="center" wrapText="1"/>
    </xf>
    <xf numFmtId="173" fontId="25" fillId="0" borderId="5" xfId="1" applyNumberFormat="1" applyFont="1" applyFill="1" applyBorder="1" applyAlignment="1" applyProtection="1">
      <alignment horizontal="center" vertical="center" wrapText="1"/>
    </xf>
    <xf numFmtId="4" fontId="25" fillId="0" borderId="5" xfId="0" applyNumberFormat="1" applyFont="1" applyBorder="1" applyAlignment="1">
      <alignment horizontal="left" vertical="center" wrapText="1"/>
    </xf>
    <xf numFmtId="4" fontId="25" fillId="3" borderId="5" xfId="0" applyNumberFormat="1" applyFont="1" applyFill="1" applyBorder="1" applyAlignment="1">
      <alignment vertical="center" wrapText="1"/>
    </xf>
    <xf numFmtId="0" fontId="25" fillId="0" borderId="4" xfId="0" applyFont="1" applyBorder="1" applyAlignment="1">
      <alignment horizontal="left" vertical="center" wrapText="1"/>
    </xf>
    <xf numFmtId="39" fontId="25" fillId="0" borderId="5" xfId="1" applyNumberFormat="1" applyFont="1" applyFill="1" applyBorder="1" applyAlignment="1" applyProtection="1">
      <alignment horizontal="center" vertical="center" wrapText="1"/>
    </xf>
    <xf numFmtId="4" fontId="25" fillId="0" borderId="4" xfId="0" applyNumberFormat="1" applyFont="1" applyBorder="1" applyAlignment="1">
      <alignment horizontal="left" vertical="center" wrapText="1"/>
    </xf>
    <xf numFmtId="0" fontId="25" fillId="0" borderId="14" xfId="21" applyFont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3" fillId="3" borderId="4" xfId="0" applyFont="1" applyFill="1" applyBorder="1" applyAlignment="1">
      <alignment horizontal="left" vertical="center"/>
    </xf>
    <xf numFmtId="8" fontId="11" fillId="3" borderId="2" xfId="0" applyNumberFormat="1" applyFont="1" applyFill="1" applyBorder="1" applyAlignment="1">
      <alignment horizontal="center" vertical="center"/>
    </xf>
    <xf numFmtId="164" fontId="11" fillId="13" borderId="14" xfId="1" applyNumberFormat="1" applyFont="1" applyFill="1" applyBorder="1" applyAlignment="1">
      <alignment horizontal="left" vertical="center" wrapText="1"/>
    </xf>
    <xf numFmtId="40" fontId="2" fillId="5" borderId="0" xfId="0" applyNumberFormat="1" applyFont="1" applyFill="1" applyAlignment="1">
      <alignment horizontal="center" vertical="center"/>
    </xf>
    <xf numFmtId="40" fontId="3" fillId="5" borderId="0" xfId="0" applyNumberFormat="1" applyFont="1" applyFill="1" applyAlignment="1">
      <alignment horizontal="center" vertical="center"/>
    </xf>
    <xf numFmtId="40" fontId="3" fillId="5" borderId="0" xfId="0" applyNumberFormat="1" applyFont="1" applyFill="1" applyAlignment="1">
      <alignment horizontal="left" vertical="center" wrapText="1"/>
    </xf>
    <xf numFmtId="40" fontId="3" fillId="16" borderId="9" xfId="0" applyNumberFormat="1" applyFont="1" applyFill="1" applyBorder="1" applyAlignment="1">
      <alignment vertical="center" wrapText="1"/>
    </xf>
    <xf numFmtId="40" fontId="3" fillId="16" borderId="54" xfId="0" applyNumberFormat="1" applyFont="1" applyFill="1" applyBorder="1" applyAlignment="1">
      <alignment horizontal="center" vertical="center" wrapText="1"/>
    </xf>
    <xf numFmtId="164" fontId="13" fillId="0" borderId="5" xfId="0" applyNumberFormat="1" applyFont="1" applyBorder="1" applyAlignment="1">
      <alignment horizontal="center" vertical="center" wrapText="1"/>
    </xf>
    <xf numFmtId="40" fontId="2" fillId="5" borderId="5" xfId="0" applyNumberFormat="1" applyFont="1" applyFill="1" applyBorder="1" applyAlignment="1">
      <alignment horizontal="left" vertical="center" wrapText="1"/>
    </xf>
    <xf numFmtId="10" fontId="13" fillId="0" borderId="5" xfId="7" applyNumberFormat="1" applyFont="1" applyBorder="1" applyAlignment="1">
      <alignment horizontal="center" vertical="center" wrapText="1"/>
    </xf>
    <xf numFmtId="40" fontId="3" fillId="5" borderId="5" xfId="0" applyNumberFormat="1" applyFont="1" applyFill="1" applyBorder="1" applyAlignment="1">
      <alignment horizontal="center" vertical="center" wrapText="1"/>
    </xf>
    <xf numFmtId="40" fontId="2" fillId="5" borderId="0" xfId="0" applyNumberFormat="1" applyFont="1" applyFill="1" applyAlignment="1">
      <alignment vertical="center"/>
    </xf>
    <xf numFmtId="40" fontId="3" fillId="3" borderId="0" xfId="6" applyNumberFormat="1" applyFont="1" applyFill="1" applyAlignment="1">
      <alignment vertical="center" wrapText="1"/>
    </xf>
    <xf numFmtId="1" fontId="11" fillId="3" borderId="0" xfId="13" applyNumberFormat="1" applyFont="1" applyFill="1" applyAlignment="1">
      <alignment horizontal="center" vertical="center" wrapText="1"/>
    </xf>
    <xf numFmtId="171" fontId="11" fillId="3" borderId="0" xfId="13" applyFont="1" applyFill="1" applyAlignment="1">
      <alignment horizontal="center" vertical="center" wrapText="1"/>
    </xf>
    <xf numFmtId="171" fontId="20" fillId="3" borderId="0" xfId="16" applyFont="1" applyFill="1" applyAlignment="1">
      <alignment vertical="center"/>
    </xf>
    <xf numFmtId="171" fontId="20" fillId="3" borderId="0" xfId="16" applyFont="1" applyFill="1" applyAlignment="1">
      <alignment horizontal="left" vertical="center"/>
    </xf>
    <xf numFmtId="171" fontId="20" fillId="3" borderId="0" xfId="16" applyFont="1" applyFill="1" applyAlignment="1">
      <alignment horizontal="left" vertical="center" wrapText="1"/>
    </xf>
    <xf numFmtId="2" fontId="13" fillId="3" borderId="5" xfId="13" applyNumberFormat="1" applyFont="1" applyFill="1" applyBorder="1"/>
    <xf numFmtId="0" fontId="18" fillId="3" borderId="0" xfId="13" applyNumberFormat="1" applyFont="1" applyFill="1" applyAlignment="1">
      <alignment horizontal="center"/>
    </xf>
    <xf numFmtId="171" fontId="18" fillId="3" borderId="5" xfId="13" applyFont="1" applyFill="1" applyBorder="1"/>
    <xf numFmtId="171" fontId="18" fillId="3" borderId="4" xfId="13" applyFont="1" applyFill="1" applyBorder="1"/>
    <xf numFmtId="2" fontId="13" fillId="3" borderId="2" xfId="13" applyNumberFormat="1" applyFont="1" applyFill="1" applyBorder="1" applyAlignment="1">
      <alignment horizontal="center"/>
    </xf>
    <xf numFmtId="2" fontId="13" fillId="3" borderId="3" xfId="13" applyNumberFormat="1" applyFont="1" applyFill="1" applyBorder="1" applyAlignment="1">
      <alignment horizontal="center"/>
    </xf>
    <xf numFmtId="0" fontId="20" fillId="3" borderId="0" xfId="16" applyNumberFormat="1" applyFont="1" applyFill="1" applyAlignment="1">
      <alignment vertical="center"/>
    </xf>
    <xf numFmtId="4" fontId="20" fillId="3" borderId="0" xfId="16" applyNumberFormat="1" applyFont="1" applyFill="1" applyAlignment="1">
      <alignment vertical="center"/>
    </xf>
    <xf numFmtId="0" fontId="13" fillId="3" borderId="5" xfId="13" applyNumberFormat="1" applyFont="1" applyFill="1" applyBorder="1" applyAlignment="1">
      <alignment horizontal="center"/>
    </xf>
    <xf numFmtId="0" fontId="11" fillId="3" borderId="1" xfId="16" applyNumberFormat="1" applyFont="1" applyFill="1" applyBorder="1" applyAlignment="1">
      <alignment horizontal="center" vertical="center" wrapText="1"/>
    </xf>
    <xf numFmtId="171" fontId="2" fillId="3" borderId="5" xfId="13" applyFill="1" applyBorder="1"/>
    <xf numFmtId="0" fontId="13" fillId="3" borderId="0" xfId="13" applyNumberFormat="1" applyFont="1" applyFill="1" applyAlignment="1">
      <alignment horizontal="center" vertical="center"/>
    </xf>
    <xf numFmtId="171" fontId="18" fillId="3" borderId="0" xfId="13" applyFont="1" applyFill="1"/>
    <xf numFmtId="171" fontId="2" fillId="3" borderId="5" xfId="13" applyFill="1" applyBorder="1" applyAlignment="1">
      <alignment horizontal="center" vertical="center"/>
    </xf>
    <xf numFmtId="171" fontId="18" fillId="3" borderId="5" xfId="13" applyFont="1" applyFill="1" applyBorder="1" applyAlignment="1">
      <alignment wrapText="1"/>
    </xf>
    <xf numFmtId="0" fontId="13" fillId="3" borderId="2" xfId="13" applyNumberFormat="1" applyFont="1" applyFill="1" applyBorder="1" applyAlignment="1">
      <alignment horizontal="center" vertical="center"/>
    </xf>
    <xf numFmtId="171" fontId="13" fillId="3" borderId="5" xfId="13" applyFont="1" applyFill="1" applyBorder="1" applyAlignment="1">
      <alignment vertical="center"/>
    </xf>
    <xf numFmtId="171" fontId="13" fillId="3" borderId="28" xfId="13" applyFont="1" applyFill="1" applyBorder="1" applyAlignment="1">
      <alignment horizontal="center"/>
    </xf>
    <xf numFmtId="171" fontId="18" fillId="3" borderId="5" xfId="13" applyFont="1" applyFill="1" applyBorder="1" applyAlignment="1">
      <alignment vertical="center" wrapText="1"/>
    </xf>
    <xf numFmtId="0" fontId="13" fillId="3" borderId="5" xfId="13" applyNumberFormat="1" applyFont="1" applyFill="1" applyBorder="1" applyAlignment="1">
      <alignment horizontal="center" vertical="center"/>
    </xf>
    <xf numFmtId="0" fontId="13" fillId="3" borderId="13" xfId="13" applyNumberFormat="1" applyFont="1" applyFill="1" applyBorder="1" applyAlignment="1">
      <alignment horizontal="center" vertical="center"/>
    </xf>
    <xf numFmtId="0" fontId="13" fillId="3" borderId="28" xfId="13" applyNumberFormat="1" applyFont="1" applyFill="1" applyBorder="1" applyAlignment="1">
      <alignment horizontal="center"/>
    </xf>
    <xf numFmtId="176" fontId="13" fillId="3" borderId="0" xfId="13" applyNumberFormat="1" applyFont="1" applyFill="1" applyAlignment="1">
      <alignment horizontal="center" vertical="center"/>
    </xf>
    <xf numFmtId="171" fontId="18" fillId="3" borderId="4" xfId="13" applyFont="1" applyFill="1" applyBorder="1" applyAlignment="1">
      <alignment vertical="center" wrapText="1"/>
    </xf>
    <xf numFmtId="171" fontId="18" fillId="3" borderId="2" xfId="13" applyFont="1" applyFill="1" applyBorder="1" applyAlignment="1">
      <alignment horizontal="center" vertical="center" wrapText="1"/>
    </xf>
    <xf numFmtId="171" fontId="18" fillId="3" borderId="2" xfId="13" applyFont="1" applyFill="1" applyBorder="1" applyAlignment="1">
      <alignment vertical="center" wrapText="1"/>
    </xf>
    <xf numFmtId="171" fontId="18" fillId="3" borderId="3" xfId="13" applyFont="1" applyFill="1" applyBorder="1" applyAlignment="1">
      <alignment vertical="center" wrapText="1"/>
    </xf>
    <xf numFmtId="0" fontId="11" fillId="3" borderId="13" xfId="13" applyNumberFormat="1" applyFont="1" applyFill="1" applyBorder="1" applyAlignment="1">
      <alignment horizontal="center" vertical="center"/>
    </xf>
    <xf numFmtId="0" fontId="13" fillId="3" borderId="0" xfId="13" applyNumberFormat="1" applyFont="1" applyFill="1" applyAlignment="1">
      <alignment vertical="center"/>
    </xf>
    <xf numFmtId="0" fontId="13" fillId="3" borderId="45" xfId="13" applyNumberFormat="1" applyFont="1" applyFill="1" applyBorder="1" applyAlignment="1">
      <alignment vertical="center"/>
    </xf>
    <xf numFmtId="0" fontId="13" fillId="3" borderId="26" xfId="13" applyNumberFormat="1" applyFont="1" applyFill="1" applyBorder="1" applyAlignment="1">
      <alignment horizontal="center" vertical="center"/>
    </xf>
    <xf numFmtId="0" fontId="13" fillId="3" borderId="26" xfId="13" applyNumberFormat="1" applyFont="1" applyFill="1" applyBorder="1" applyAlignment="1">
      <alignment vertical="center"/>
    </xf>
    <xf numFmtId="0" fontId="13" fillId="3" borderId="46" xfId="13" applyNumberFormat="1" applyFont="1" applyFill="1" applyBorder="1" applyAlignment="1">
      <alignment vertical="center"/>
    </xf>
    <xf numFmtId="0" fontId="11" fillId="3" borderId="0" xfId="13" applyNumberFormat="1" applyFont="1" applyFill="1"/>
    <xf numFmtId="0" fontId="20" fillId="3" borderId="0" xfId="16" applyNumberFormat="1" applyFont="1" applyFill="1" applyAlignment="1">
      <alignment horizontal="left" vertical="center" wrapText="1"/>
    </xf>
    <xf numFmtId="0" fontId="13" fillId="3" borderId="5" xfId="13" applyNumberFormat="1" applyFont="1" applyFill="1" applyBorder="1" applyAlignment="1">
      <alignment vertical="center"/>
    </xf>
    <xf numFmtId="0" fontId="13" fillId="3" borderId="5" xfId="13" applyNumberFormat="1" applyFont="1" applyFill="1" applyBorder="1"/>
    <xf numFmtId="0" fontId="13" fillId="3" borderId="4" xfId="13" applyNumberFormat="1" applyFont="1" applyFill="1" applyBorder="1"/>
    <xf numFmtId="2" fontId="13" fillId="3" borderId="4" xfId="13" applyNumberFormat="1" applyFont="1" applyFill="1" applyBorder="1" applyAlignment="1">
      <alignment horizontal="center" vertical="center"/>
    </xf>
    <xf numFmtId="0" fontId="13" fillId="3" borderId="23" xfId="13" applyNumberFormat="1" applyFont="1" applyFill="1" applyBorder="1" applyAlignment="1">
      <alignment vertical="center"/>
    </xf>
    <xf numFmtId="0" fontId="13" fillId="3" borderId="25" xfId="13" applyNumberFormat="1" applyFont="1" applyFill="1" applyBorder="1"/>
    <xf numFmtId="0" fontId="13" fillId="3" borderId="28" xfId="13" applyNumberFormat="1" applyFont="1" applyFill="1" applyBorder="1" applyAlignment="1">
      <alignment horizontal="center" vertical="center"/>
    </xf>
    <xf numFmtId="171" fontId="2" fillId="3" borderId="28" xfId="13" applyFill="1" applyBorder="1"/>
    <xf numFmtId="0" fontId="13" fillId="3" borderId="4" xfId="13" applyNumberFormat="1" applyFont="1" applyFill="1" applyBorder="1" applyAlignment="1">
      <alignment vertical="center"/>
    </xf>
    <xf numFmtId="0" fontId="13" fillId="3" borderId="3" xfId="13" applyNumberFormat="1" applyFont="1" applyFill="1" applyBorder="1" applyAlignment="1">
      <alignment horizontal="center" vertical="center"/>
    </xf>
    <xf numFmtId="49" fontId="20" fillId="3" borderId="0" xfId="16" applyNumberFormat="1" applyFont="1" applyFill="1" applyAlignment="1">
      <alignment horizontal="left" vertical="center"/>
    </xf>
    <xf numFmtId="0" fontId="13" fillId="3" borderId="26" xfId="13" applyNumberFormat="1" applyFont="1" applyFill="1" applyBorder="1"/>
    <xf numFmtId="0" fontId="11" fillId="3" borderId="26" xfId="13" applyNumberFormat="1" applyFont="1" applyFill="1" applyBorder="1"/>
    <xf numFmtId="49" fontId="20" fillId="3" borderId="1" xfId="16" applyNumberFormat="1" applyFont="1" applyFill="1" applyBorder="1" applyAlignment="1">
      <alignment horizontal="center" vertical="center" wrapText="1"/>
    </xf>
    <xf numFmtId="0" fontId="23" fillId="3" borderId="1" xfId="16" applyNumberFormat="1" applyFont="1" applyFill="1" applyBorder="1" applyAlignment="1">
      <alignment horizontal="center" vertical="center" wrapText="1"/>
    </xf>
    <xf numFmtId="0" fontId="20" fillId="3" borderId="0" xfId="16" applyNumberFormat="1" applyFont="1" applyFill="1" applyAlignment="1">
      <alignment horizontal="left" vertical="center"/>
    </xf>
    <xf numFmtId="4" fontId="20" fillId="3" borderId="0" xfId="16" applyNumberFormat="1" applyFont="1" applyFill="1" applyAlignment="1">
      <alignment horizontal="left" vertical="center"/>
    </xf>
    <xf numFmtId="0" fontId="20" fillId="3" borderId="0" xfId="16" applyNumberFormat="1" applyFont="1" applyFill="1" applyAlignment="1">
      <alignment vertical="center" wrapText="1"/>
    </xf>
    <xf numFmtId="4" fontId="20" fillId="3" borderId="0" xfId="16" applyNumberFormat="1" applyFont="1" applyFill="1" applyAlignment="1">
      <alignment vertical="center" wrapText="1"/>
    </xf>
    <xf numFmtId="0" fontId="23" fillId="3" borderId="0" xfId="16" applyNumberFormat="1" applyFont="1" applyFill="1" applyAlignment="1">
      <alignment horizontal="left" vertical="center"/>
    </xf>
    <xf numFmtId="0" fontId="23" fillId="3" borderId="0" xfId="16" applyNumberFormat="1" applyFont="1" applyFill="1" applyAlignment="1">
      <alignment horizontal="center" vertical="center" wrapText="1"/>
    </xf>
    <xf numFmtId="2" fontId="11" fillId="3" borderId="0" xfId="13" applyNumberFormat="1" applyFont="1" applyFill="1"/>
    <xf numFmtId="38" fontId="2" fillId="6" borderId="2" xfId="6" applyNumberFormat="1" applyFill="1" applyBorder="1" applyAlignment="1">
      <alignment horizontal="center"/>
    </xf>
    <xf numFmtId="44" fontId="13" fillId="0" borderId="5" xfId="2" applyFont="1" applyFill="1" applyBorder="1" applyAlignment="1">
      <alignment horizontal="right" vertical="center"/>
    </xf>
    <xf numFmtId="44" fontId="11" fillId="13" borderId="2" xfId="1" applyNumberFormat="1" applyFont="1" applyFill="1" applyBorder="1" applyAlignment="1">
      <alignment horizontal="center" vertical="center" wrapText="1"/>
    </xf>
    <xf numFmtId="44" fontId="11" fillId="13" borderId="2" xfId="1" applyNumberFormat="1" applyFont="1" applyFill="1" applyBorder="1" applyAlignment="1">
      <alignment vertical="center" wrapText="1"/>
    </xf>
    <xf numFmtId="44" fontId="11" fillId="8" borderId="2" xfId="0" applyNumberFormat="1" applyFont="1" applyFill="1" applyBorder="1" applyAlignment="1">
      <alignment vertical="center" wrapText="1"/>
    </xf>
    <xf numFmtId="44" fontId="13" fillId="8" borderId="26" xfId="1" applyNumberFormat="1" applyFont="1" applyFill="1" applyBorder="1" applyAlignment="1" applyProtection="1">
      <alignment horizontal="center" vertical="center"/>
    </xf>
    <xf numFmtId="44" fontId="13" fillId="0" borderId="12" xfId="0" applyNumberFormat="1" applyFont="1" applyBorder="1" applyAlignment="1">
      <alignment horizontal="center" vertical="center" wrapText="1"/>
    </xf>
    <xf numFmtId="44" fontId="13" fillId="0" borderId="5" xfId="0" applyNumberFormat="1" applyFont="1" applyBorder="1" applyAlignment="1">
      <alignment horizontal="center" vertical="center" wrapText="1"/>
    </xf>
    <xf numFmtId="44" fontId="13" fillId="8" borderId="2" xfId="1" applyNumberFormat="1" applyFont="1" applyFill="1" applyBorder="1" applyAlignment="1">
      <alignment horizontal="center" vertical="center"/>
    </xf>
    <xf numFmtId="44" fontId="11" fillId="8" borderId="25" xfId="0" applyNumberFormat="1" applyFont="1" applyFill="1" applyBorder="1" applyAlignment="1">
      <alignment horizontal="center" vertical="center"/>
    </xf>
    <xf numFmtId="44" fontId="13" fillId="3" borderId="5" xfId="1" applyNumberFormat="1" applyFont="1" applyFill="1" applyBorder="1" applyAlignment="1">
      <alignment horizontal="center" vertical="center"/>
    </xf>
    <xf numFmtId="0" fontId="4" fillId="12" borderId="9" xfId="6" quotePrefix="1" applyFont="1" applyFill="1" applyBorder="1" applyAlignment="1">
      <alignment horizontal="center" vertical="center" wrapText="1"/>
    </xf>
    <xf numFmtId="0" fontId="2" fillId="3" borderId="86" xfId="0" applyFont="1" applyFill="1" applyBorder="1"/>
    <xf numFmtId="38" fontId="11" fillId="3" borderId="0" xfId="6" applyNumberFormat="1" applyFont="1" applyFill="1" applyAlignment="1">
      <alignment horizontal="center" vertical="top"/>
    </xf>
    <xf numFmtId="44" fontId="11" fillId="3" borderId="5" xfId="6" applyNumberFormat="1" applyFont="1" applyFill="1" applyBorder="1" applyAlignment="1">
      <alignment horizontal="left" vertical="center"/>
    </xf>
    <xf numFmtId="0" fontId="11" fillId="3" borderId="5" xfId="6" applyFont="1" applyFill="1" applyBorder="1" applyAlignment="1">
      <alignment horizontal="left" vertical="center"/>
    </xf>
    <xf numFmtId="4" fontId="11" fillId="13" borderId="5" xfId="6" applyNumberFormat="1" applyFont="1" applyFill="1" applyBorder="1" applyAlignment="1">
      <alignment horizontal="center" vertical="center" wrapText="1"/>
    </xf>
    <xf numFmtId="44" fontId="11" fillId="3" borderId="2" xfId="6" applyNumberFormat="1" applyFont="1" applyFill="1" applyBorder="1" applyAlignment="1">
      <alignment horizontal="left" vertical="center"/>
    </xf>
    <xf numFmtId="4" fontId="11" fillId="13" borderId="5" xfId="6" applyNumberFormat="1" applyFont="1" applyFill="1" applyBorder="1" applyAlignment="1">
      <alignment horizontal="left" vertical="center" wrapText="1"/>
    </xf>
    <xf numFmtId="177" fontId="13" fillId="3" borderId="0" xfId="3" applyNumberFormat="1" applyFont="1" applyFill="1"/>
    <xf numFmtId="0" fontId="11" fillId="13" borderId="5" xfId="6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13" fillId="3" borderId="0" xfId="0" applyFont="1" applyFill="1"/>
    <xf numFmtId="40" fontId="13" fillId="0" borderId="4" xfId="6" applyNumberFormat="1" applyFont="1" applyBorder="1" applyAlignment="1">
      <alignment horizontal="center"/>
    </xf>
    <xf numFmtId="40" fontId="13" fillId="0" borderId="2" xfId="6" applyNumberFormat="1" applyFont="1" applyBorder="1" applyAlignment="1">
      <alignment horizontal="center"/>
    </xf>
    <xf numFmtId="40" fontId="13" fillId="0" borderId="3" xfId="6" applyNumberFormat="1" applyFont="1" applyBorder="1" applyAlignment="1">
      <alignment horizontal="center"/>
    </xf>
    <xf numFmtId="40" fontId="11" fillId="3" borderId="5" xfId="6" applyNumberFormat="1" applyFont="1" applyFill="1" applyBorder="1" applyAlignment="1">
      <alignment horizontal="center"/>
    </xf>
    <xf numFmtId="40" fontId="13" fillId="3" borderId="5" xfId="6" applyNumberFormat="1" applyFont="1" applyFill="1" applyBorder="1" applyAlignment="1">
      <alignment horizontal="center"/>
    </xf>
    <xf numFmtId="40" fontId="11" fillId="3" borderId="5" xfId="6" applyNumberFormat="1" applyFont="1" applyFill="1" applyBorder="1" applyAlignment="1">
      <alignment horizontal="center" vertical="center"/>
    </xf>
    <xf numFmtId="40" fontId="3" fillId="3" borderId="0" xfId="6" applyNumberFormat="1" applyFont="1" applyFill="1" applyAlignment="1">
      <alignment horizontal="left" vertical="center"/>
    </xf>
    <xf numFmtId="40" fontId="2" fillId="3" borderId="0" xfId="6" applyNumberFormat="1" applyFill="1" applyAlignment="1">
      <alignment horizontal="left" vertical="center"/>
    </xf>
    <xf numFmtId="0" fontId="29" fillId="3" borderId="0" xfId="0" applyFont="1" applyFill="1" applyAlignment="1">
      <alignment vertical="center"/>
    </xf>
    <xf numFmtId="0" fontId="2" fillId="3" borderId="0" xfId="6" applyFill="1"/>
    <xf numFmtId="40" fontId="2" fillId="3" borderId="0" xfId="6" applyNumberFormat="1" applyFill="1" applyAlignment="1">
      <alignment horizontal="center" vertical="center" wrapText="1"/>
    </xf>
    <xf numFmtId="40" fontId="2" fillId="3" borderId="5" xfId="6" applyNumberFormat="1" applyFill="1" applyBorder="1" applyAlignment="1">
      <alignment horizontal="center" vertical="center" wrapText="1"/>
    </xf>
    <xf numFmtId="40" fontId="2" fillId="3" borderId="2" xfId="6" applyNumberFormat="1" applyFill="1" applyBorder="1" applyAlignment="1">
      <alignment vertical="center" wrapText="1"/>
    </xf>
    <xf numFmtId="40" fontId="2" fillId="3" borderId="3" xfId="6" applyNumberFormat="1" applyFill="1" applyBorder="1" applyAlignment="1">
      <alignment vertical="center" wrapText="1"/>
    </xf>
    <xf numFmtId="40" fontId="2" fillId="3" borderId="5" xfId="6" applyNumberFormat="1" applyFill="1" applyBorder="1" applyAlignment="1">
      <alignment vertical="center" wrapText="1"/>
    </xf>
    <xf numFmtId="40" fontId="2" fillId="0" borderId="5" xfId="6" applyNumberFormat="1" applyBorder="1" applyAlignment="1">
      <alignment horizontal="center" vertical="center" wrapText="1"/>
    </xf>
    <xf numFmtId="40" fontId="2" fillId="0" borderId="0" xfId="6" applyNumberFormat="1" applyAlignment="1">
      <alignment horizontal="center" vertical="center" wrapText="1"/>
    </xf>
    <xf numFmtId="0" fontId="29" fillId="3" borderId="0" xfId="0" applyFont="1" applyFill="1"/>
    <xf numFmtId="0" fontId="29" fillId="0" borderId="0" xfId="0" applyFont="1"/>
    <xf numFmtId="0" fontId="0" fillId="0" borderId="0" xfId="0" applyAlignment="1">
      <alignment vertical="center"/>
    </xf>
    <xf numFmtId="0" fontId="13" fillId="0" borderId="0" xfId="0" applyFont="1"/>
    <xf numFmtId="44" fontId="26" fillId="6" borderId="18" xfId="0" applyNumberFormat="1" applyFont="1" applyFill="1" applyBorder="1" applyAlignment="1">
      <alignment horizontal="center" vertical="center" wrapText="1"/>
    </xf>
    <xf numFmtId="0" fontId="26" fillId="14" borderId="82" xfId="19" applyFont="1" applyFill="1" applyBorder="1" applyAlignment="1">
      <alignment horizontal="center" vertical="center" wrapText="1"/>
    </xf>
    <xf numFmtId="0" fontId="26" fillId="14" borderId="83" xfId="19" applyFont="1" applyFill="1" applyBorder="1" applyAlignment="1">
      <alignment horizontal="center" vertical="center" wrapText="1"/>
    </xf>
    <xf numFmtId="0" fontId="26" fillId="14" borderId="20" xfId="19" applyFont="1" applyFill="1" applyBorder="1" applyAlignment="1">
      <alignment horizontal="center" vertical="center" wrapText="1"/>
    </xf>
    <xf numFmtId="0" fontId="26" fillId="14" borderId="58" xfId="19" applyFont="1" applyFill="1" applyBorder="1" applyAlignment="1">
      <alignment horizontal="center" vertical="center" wrapText="1"/>
    </xf>
    <xf numFmtId="176" fontId="26" fillId="14" borderId="58" xfId="20" applyNumberFormat="1" applyFont="1" applyFill="1" applyBorder="1" applyAlignment="1">
      <alignment horizontal="center" vertical="center" wrapText="1"/>
    </xf>
    <xf numFmtId="0" fontId="26" fillId="6" borderId="58" xfId="0" applyFont="1" applyFill="1" applyBorder="1" applyAlignment="1">
      <alignment horizontal="center" vertical="center" wrapText="1"/>
    </xf>
    <xf numFmtId="0" fontId="26" fillId="6" borderId="21" xfId="0" applyFont="1" applyFill="1" applyBorder="1" applyAlignment="1">
      <alignment horizontal="center" vertical="center" wrapText="1"/>
    </xf>
    <xf numFmtId="0" fontId="25" fillId="3" borderId="24" xfId="0" applyFont="1" applyFill="1" applyBorder="1" applyAlignment="1">
      <alignment horizontal="center" vertical="center" wrapText="1"/>
    </xf>
    <xf numFmtId="0" fontId="25" fillId="3" borderId="5" xfId="0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vertical="center" wrapText="1"/>
    </xf>
    <xf numFmtId="8" fontId="25" fillId="3" borderId="5" xfId="0" applyNumberFormat="1" applyFont="1" applyFill="1" applyBorder="1" applyAlignment="1">
      <alignment horizontal="center" vertical="center"/>
    </xf>
    <xf numFmtId="8" fontId="25" fillId="3" borderId="18" xfId="0" applyNumberFormat="1" applyFont="1" applyFill="1" applyBorder="1" applyAlignment="1">
      <alignment horizontal="center" vertical="center"/>
    </xf>
    <xf numFmtId="0" fontId="25" fillId="0" borderId="0" xfId="0" applyFont="1"/>
    <xf numFmtId="8" fontId="26" fillId="3" borderId="21" xfId="0" applyNumberFormat="1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vertical="center"/>
    </xf>
    <xf numFmtId="40" fontId="13" fillId="3" borderId="0" xfId="0" applyNumberFormat="1" applyFont="1" applyFill="1" applyAlignment="1">
      <alignment horizontal="center" vertical="center"/>
    </xf>
    <xf numFmtId="8" fontId="13" fillId="3" borderId="0" xfId="0" applyNumberFormat="1" applyFont="1" applyFill="1" applyAlignment="1">
      <alignment horizontal="center" vertical="center"/>
    </xf>
    <xf numFmtId="8" fontId="13" fillId="3" borderId="0" xfId="0" applyNumberFormat="1" applyFont="1" applyFill="1"/>
    <xf numFmtId="0" fontId="26" fillId="6" borderId="0" xfId="0" applyFont="1" applyFill="1" applyAlignment="1">
      <alignment horizontal="center" vertical="center" wrapText="1"/>
    </xf>
    <xf numFmtId="49" fontId="25" fillId="3" borderId="5" xfId="3" applyNumberFormat="1" applyFont="1" applyFill="1" applyBorder="1" applyAlignment="1">
      <alignment horizontal="center" vertical="center" wrapText="1"/>
    </xf>
    <xf numFmtId="8" fontId="26" fillId="3" borderId="21" xfId="0" applyNumberFormat="1" applyFont="1" applyFill="1" applyBorder="1"/>
    <xf numFmtId="0" fontId="26" fillId="6" borderId="2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vertical="center"/>
    </xf>
    <xf numFmtId="0" fontId="25" fillId="0" borderId="0" xfId="0" applyFont="1" applyAlignment="1">
      <alignment horizontal="center" vertical="center"/>
    </xf>
    <xf numFmtId="40" fontId="25" fillId="3" borderId="0" xfId="0" applyNumberFormat="1" applyFont="1" applyFill="1" applyAlignment="1">
      <alignment horizontal="center" vertical="center"/>
    </xf>
    <xf numFmtId="8" fontId="25" fillId="3" borderId="0" xfId="0" applyNumberFormat="1" applyFont="1" applyFill="1" applyAlignment="1">
      <alignment horizontal="center" vertical="center"/>
    </xf>
    <xf numFmtId="8" fontId="25" fillId="3" borderId="0" xfId="0" applyNumberFormat="1" applyFont="1" applyFill="1"/>
    <xf numFmtId="8" fontId="25" fillId="3" borderId="18" xfId="0" applyNumberFormat="1" applyFont="1" applyFill="1" applyBorder="1" applyAlignment="1">
      <alignment horizontal="right" vertical="center"/>
    </xf>
    <xf numFmtId="0" fontId="25" fillId="3" borderId="5" xfId="0" applyFont="1" applyFill="1" applyBorder="1" applyAlignment="1">
      <alignment horizontal="center" vertical="center" wrapText="1"/>
    </xf>
    <xf numFmtId="0" fontId="25" fillId="3" borderId="5" xfId="3" applyFont="1" applyFill="1" applyBorder="1" applyAlignment="1">
      <alignment horizontal="left" vertical="top" wrapText="1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40" fontId="25" fillId="0" borderId="5" xfId="0" applyNumberFormat="1" applyFont="1" applyBorder="1" applyAlignment="1">
      <alignment horizontal="center" vertical="center"/>
    </xf>
    <xf numFmtId="2" fontId="25" fillId="3" borderId="0" xfId="0" applyNumberFormat="1" applyFont="1" applyFill="1" applyAlignment="1">
      <alignment horizontal="center" vertical="center"/>
    </xf>
    <xf numFmtId="2" fontId="25" fillId="3" borderId="5" xfId="0" applyNumberFormat="1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 wrapText="1"/>
    </xf>
    <xf numFmtId="49" fontId="13" fillId="0" borderId="14" xfId="3" applyNumberFormat="1" applyFont="1" applyBorder="1" applyAlignment="1">
      <alignment horizontal="left" vertical="center" wrapText="1"/>
    </xf>
    <xf numFmtId="0" fontId="13" fillId="0" borderId="2" xfId="3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3" xfId="3" applyFont="1" applyBorder="1" applyAlignment="1">
      <alignment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6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11" fillId="13" borderId="4" xfId="0" applyFont="1" applyFill="1" applyBorder="1" applyAlignment="1">
      <alignment horizontal="center" vertical="center" wrapText="1"/>
    </xf>
    <xf numFmtId="0" fontId="11" fillId="13" borderId="2" xfId="0" applyFont="1" applyFill="1" applyBorder="1" applyAlignment="1">
      <alignment horizontal="center" vertical="center" wrapText="1"/>
    </xf>
    <xf numFmtId="9" fontId="13" fillId="3" borderId="2" xfId="7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wrapText="1"/>
    </xf>
    <xf numFmtId="0" fontId="13" fillId="3" borderId="2" xfId="0" applyFont="1" applyFill="1" applyBorder="1" applyAlignment="1">
      <alignment wrapText="1"/>
    </xf>
    <xf numFmtId="40" fontId="13" fillId="3" borderId="2" xfId="0" applyNumberFormat="1" applyFont="1" applyFill="1" applyBorder="1" applyAlignment="1">
      <alignment horizontal="center" vertical="center"/>
    </xf>
    <xf numFmtId="8" fontId="13" fillId="3" borderId="2" xfId="2" applyNumberFormat="1" applyFont="1" applyFill="1" applyBorder="1" applyAlignment="1">
      <alignment horizontal="center" vertical="center"/>
    </xf>
    <xf numFmtId="8" fontId="13" fillId="3" borderId="2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wrapText="1"/>
    </xf>
    <xf numFmtId="164" fontId="11" fillId="13" borderId="14" xfId="1" applyNumberFormat="1" applyFont="1" applyFill="1" applyBorder="1" applyAlignment="1">
      <alignment horizontal="center" vertical="center" wrapText="1"/>
    </xf>
    <xf numFmtId="10" fontId="11" fillId="13" borderId="3" xfId="7" applyNumberFormat="1" applyFont="1" applyFill="1" applyBorder="1" applyAlignment="1">
      <alignment horizontal="center" wrapText="1"/>
    </xf>
    <xf numFmtId="0" fontId="13" fillId="0" borderId="0" xfId="0" applyFont="1" applyAlignment="1">
      <alignment wrapText="1"/>
    </xf>
    <xf numFmtId="44" fontId="13" fillId="0" borderId="0" xfId="2" applyFont="1" applyAlignment="1">
      <alignment wrapText="1"/>
    </xf>
    <xf numFmtId="0" fontId="11" fillId="2" borderId="0" xfId="0" applyFont="1" applyFill="1" applyAlignment="1">
      <alignment wrapText="1"/>
    </xf>
    <xf numFmtId="0" fontId="13" fillId="3" borderId="13" xfId="0" applyFont="1" applyFill="1" applyBorder="1" applyAlignment="1">
      <alignment vertical="center" wrapText="1"/>
    </xf>
    <xf numFmtId="44" fontId="13" fillId="3" borderId="13" xfId="0" applyNumberFormat="1" applyFont="1" applyFill="1" applyBorder="1" applyAlignment="1">
      <alignment horizontal="center" vertical="center" wrapText="1"/>
    </xf>
    <xf numFmtId="44" fontId="13" fillId="0" borderId="13" xfId="0" applyNumberFormat="1" applyFont="1" applyBorder="1" applyAlignment="1">
      <alignment horizontal="center" vertical="center" wrapText="1"/>
    </xf>
    <xf numFmtId="164" fontId="13" fillId="0" borderId="45" xfId="0" applyNumberFormat="1" applyFont="1" applyBorder="1" applyAlignment="1">
      <alignment horizontal="center" vertical="center" wrapText="1"/>
    </xf>
    <xf numFmtId="10" fontId="13" fillId="0" borderId="13" xfId="7" applyNumberFormat="1" applyFont="1" applyBorder="1" applyAlignment="1">
      <alignment horizontal="center" vertical="center" wrapText="1"/>
    </xf>
    <xf numFmtId="49" fontId="13" fillId="0" borderId="14" xfId="3" applyNumberFormat="1" applyFont="1" applyBorder="1" applyAlignment="1">
      <alignment horizontal="center" vertical="center" wrapText="1"/>
    </xf>
    <xf numFmtId="44" fontId="13" fillId="3" borderId="5" xfId="0" applyNumberFormat="1" applyFont="1" applyFill="1" applyBorder="1" applyAlignment="1">
      <alignment horizontal="center" vertical="center" wrapText="1"/>
    </xf>
    <xf numFmtId="164" fontId="13" fillId="0" borderId="4" xfId="0" applyNumberFormat="1" applyFont="1" applyBorder="1" applyAlignment="1">
      <alignment horizontal="center" vertical="center" wrapText="1"/>
    </xf>
    <xf numFmtId="44" fontId="13" fillId="3" borderId="14" xfId="0" applyNumberFormat="1" applyFont="1" applyFill="1" applyBorder="1" applyAlignment="1">
      <alignment horizontal="center" vertical="center" wrapText="1"/>
    </xf>
    <xf numFmtId="164" fontId="13" fillId="0" borderId="23" xfId="0" applyNumberFormat="1" applyFont="1" applyBorder="1" applyAlignment="1">
      <alignment horizontal="center" vertical="center" wrapText="1"/>
    </xf>
    <xf numFmtId="10" fontId="13" fillId="0" borderId="14" xfId="7" applyNumberFormat="1" applyFont="1" applyBorder="1" applyAlignment="1">
      <alignment horizontal="center" vertical="center" wrapText="1"/>
    </xf>
    <xf numFmtId="4" fontId="13" fillId="0" borderId="0" xfId="0" applyNumberFormat="1" applyFont="1" applyAlignment="1">
      <alignment wrapText="1"/>
    </xf>
    <xf numFmtId="49" fontId="13" fillId="0" borderId="13" xfId="3" applyNumberFormat="1" applyFont="1" applyBorder="1" applyAlignment="1">
      <alignment horizontal="center" vertical="center" wrapText="1"/>
    </xf>
    <xf numFmtId="49" fontId="13" fillId="3" borderId="5" xfId="3" applyNumberFormat="1" applyFont="1" applyFill="1" applyBorder="1" applyAlignment="1">
      <alignment horizontal="center" vertical="center" wrapText="1"/>
    </xf>
    <xf numFmtId="10" fontId="13" fillId="0" borderId="3" xfId="7" applyNumberFormat="1" applyFont="1" applyBorder="1" applyAlignment="1">
      <alignment horizontal="center" vertical="center" wrapText="1"/>
    </xf>
    <xf numFmtId="44" fontId="13" fillId="0" borderId="14" xfId="0" applyNumberFormat="1" applyFont="1" applyBorder="1" applyAlignment="1">
      <alignment horizontal="center" vertical="center" wrapText="1"/>
    </xf>
    <xf numFmtId="164" fontId="13" fillId="3" borderId="14" xfId="0" applyNumberFormat="1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vertical="center" wrapText="1"/>
    </xf>
    <xf numFmtId="44" fontId="13" fillId="8" borderId="2" xfId="0" applyNumberFormat="1" applyFont="1" applyFill="1" applyBorder="1" applyAlignment="1">
      <alignment horizontal="center" vertical="center" wrapText="1"/>
    </xf>
    <xf numFmtId="164" fontId="13" fillId="8" borderId="2" xfId="0" applyNumberFormat="1" applyFont="1" applyFill="1" applyBorder="1" applyAlignment="1">
      <alignment horizontal="center" vertical="center" wrapText="1"/>
    </xf>
    <xf numFmtId="10" fontId="13" fillId="8" borderId="3" xfId="7" applyNumberFormat="1" applyFont="1" applyFill="1" applyBorder="1" applyAlignment="1">
      <alignment horizontal="center" vertical="center" wrapText="1"/>
    </xf>
    <xf numFmtId="49" fontId="13" fillId="0" borderId="13" xfId="3" applyNumberFormat="1" applyFont="1" applyBorder="1" applyAlignment="1">
      <alignment horizontal="left" vertical="center" wrapText="1"/>
    </xf>
    <xf numFmtId="8" fontId="13" fillId="0" borderId="0" xfId="0" applyNumberFormat="1" applyFont="1" applyAlignment="1">
      <alignment wrapText="1"/>
    </xf>
    <xf numFmtId="49" fontId="13" fillId="3" borderId="14" xfId="3" applyNumberFormat="1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vertical="center" wrapText="1"/>
    </xf>
    <xf numFmtId="0" fontId="13" fillId="3" borderId="14" xfId="0" applyFont="1" applyFill="1" applyBorder="1" applyAlignment="1">
      <alignment horizontal="center" vertical="center" wrapText="1"/>
    </xf>
    <xf numFmtId="39" fontId="11" fillId="8" borderId="25" xfId="0" applyNumberFormat="1" applyFont="1" applyFill="1" applyBorder="1" applyAlignment="1">
      <alignment horizontal="center" vertical="center" wrapText="1"/>
    </xf>
    <xf numFmtId="164" fontId="11" fillId="8" borderId="25" xfId="1" applyNumberFormat="1" applyFont="1" applyFill="1" applyBorder="1" applyAlignment="1">
      <alignment horizontal="center" vertical="center" wrapText="1"/>
    </xf>
    <xf numFmtId="10" fontId="13" fillId="8" borderId="43" xfId="7" applyNumberFormat="1" applyFont="1" applyFill="1" applyBorder="1" applyAlignment="1">
      <alignment horizontal="center" wrapText="1"/>
    </xf>
    <xf numFmtId="0" fontId="13" fillId="3" borderId="0" xfId="0" applyFont="1" applyFill="1" applyAlignment="1">
      <alignment wrapText="1"/>
    </xf>
    <xf numFmtId="10" fontId="11" fillId="8" borderId="46" xfId="0" applyNumberFormat="1" applyFont="1" applyFill="1" applyBorder="1" applyAlignment="1">
      <alignment horizontal="center" vertical="center" wrapText="1"/>
    </xf>
    <xf numFmtId="164" fontId="13" fillId="0" borderId="13" xfId="0" applyNumberFormat="1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0" fontId="13" fillId="0" borderId="5" xfId="3" applyFont="1" applyBorder="1" applyAlignment="1">
      <alignment horizontal="left" vertical="center" wrapText="1"/>
    </xf>
    <xf numFmtId="10" fontId="13" fillId="0" borderId="14" xfId="7" applyNumberFormat="1" applyFont="1" applyBorder="1" applyAlignment="1">
      <alignment horizontal="center" vertical="center"/>
    </xf>
    <xf numFmtId="0" fontId="13" fillId="8" borderId="2" xfId="0" applyFont="1" applyFill="1" applyBorder="1" applyAlignment="1">
      <alignment horizontal="center" vertical="center"/>
    </xf>
    <xf numFmtId="0" fontId="11" fillId="8" borderId="2" xfId="0" applyFont="1" applyFill="1" applyBorder="1" applyAlignment="1">
      <alignment horizontal="left" vertical="center"/>
    </xf>
    <xf numFmtId="2" fontId="13" fillId="8" borderId="2" xfId="0" applyNumberFormat="1" applyFont="1" applyFill="1" applyBorder="1" applyAlignment="1">
      <alignment horizontal="center" vertical="center"/>
    </xf>
    <xf numFmtId="166" fontId="13" fillId="8" borderId="2" xfId="0" applyNumberFormat="1" applyFont="1" applyFill="1" applyBorder="1" applyAlignment="1">
      <alignment horizontal="center" vertical="center"/>
    </xf>
    <xf numFmtId="0" fontId="11" fillId="6" borderId="13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left" vertical="center" wrapText="1"/>
    </xf>
    <xf numFmtId="0" fontId="13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left" vertical="center"/>
    </xf>
    <xf numFmtId="2" fontId="13" fillId="6" borderId="2" xfId="0" applyNumberFormat="1" applyFont="1" applyFill="1" applyBorder="1" applyAlignment="1">
      <alignment horizontal="center" vertical="center"/>
    </xf>
    <xf numFmtId="166" fontId="13" fillId="6" borderId="2" xfId="0" applyNumberFormat="1" applyFont="1" applyFill="1" applyBorder="1" applyAlignment="1">
      <alignment horizontal="center" vertical="center"/>
    </xf>
    <xf numFmtId="164" fontId="13" fillId="6" borderId="2" xfId="0" applyNumberFormat="1" applyFont="1" applyFill="1" applyBorder="1" applyAlignment="1">
      <alignment horizontal="center" vertical="center" wrapText="1"/>
    </xf>
    <xf numFmtId="10" fontId="13" fillId="6" borderId="3" xfId="7" applyNumberFormat="1" applyFont="1" applyFill="1" applyBorder="1" applyAlignment="1">
      <alignment horizontal="center" vertical="center" wrapText="1"/>
    </xf>
    <xf numFmtId="168" fontId="13" fillId="3" borderId="5" xfId="0" applyNumberFormat="1" applyFont="1" applyFill="1" applyBorder="1" applyAlignment="1">
      <alignment horizontal="center" vertical="center"/>
    </xf>
    <xf numFmtId="164" fontId="13" fillId="0" borderId="14" xfId="0" applyNumberFormat="1" applyFont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left" vertical="center" wrapText="1"/>
    </xf>
    <xf numFmtId="0" fontId="11" fillId="6" borderId="2" xfId="0" applyFont="1" applyFill="1" applyBorder="1" applyAlignment="1">
      <alignment horizontal="center" vertical="center"/>
    </xf>
    <xf numFmtId="2" fontId="11" fillId="6" borderId="2" xfId="0" applyNumberFormat="1" applyFont="1" applyFill="1" applyBorder="1" applyAlignment="1">
      <alignment horizontal="center" vertical="center"/>
    </xf>
    <xf numFmtId="166" fontId="11" fillId="6" borderId="2" xfId="0" applyNumberFormat="1" applyFont="1" applyFill="1" applyBorder="1" applyAlignment="1">
      <alignment horizontal="center" vertical="center"/>
    </xf>
    <xf numFmtId="164" fontId="11" fillId="6" borderId="2" xfId="0" applyNumberFormat="1" applyFont="1" applyFill="1" applyBorder="1" applyAlignment="1">
      <alignment horizontal="center" vertical="center" wrapText="1"/>
    </xf>
    <xf numFmtId="10" fontId="11" fillId="6" borderId="3" xfId="7" applyNumberFormat="1" applyFont="1" applyFill="1" applyBorder="1" applyAlignment="1">
      <alignment horizontal="center" vertical="center" wrapText="1"/>
    </xf>
    <xf numFmtId="49" fontId="13" fillId="3" borderId="14" xfId="3" applyNumberFormat="1" applyFont="1" applyFill="1" applyBorder="1" applyAlignment="1">
      <alignment horizontal="left" vertical="center" wrapText="1"/>
    </xf>
    <xf numFmtId="0" fontId="13" fillId="3" borderId="43" xfId="0" applyFont="1" applyFill="1" applyBorder="1" applyAlignment="1">
      <alignment horizontal="center" vertical="center"/>
    </xf>
    <xf numFmtId="0" fontId="13" fillId="0" borderId="5" xfId="3" applyFont="1" applyBorder="1" applyAlignment="1">
      <alignment horizontal="center" vertical="center" wrapText="1"/>
    </xf>
    <xf numFmtId="168" fontId="13" fillId="0" borderId="5" xfId="0" applyNumberFormat="1" applyFont="1" applyBorder="1" applyAlignment="1">
      <alignment horizontal="center" vertical="center"/>
    </xf>
    <xf numFmtId="10" fontId="13" fillId="0" borderId="14" xfId="7" applyNumberFormat="1" applyFont="1" applyFill="1" applyBorder="1" applyAlignment="1">
      <alignment horizontal="center" vertical="center" wrapText="1"/>
    </xf>
    <xf numFmtId="164" fontId="13" fillId="3" borderId="13" xfId="0" applyNumberFormat="1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13" fillId="13" borderId="23" xfId="0" applyFont="1" applyFill="1" applyBorder="1" applyAlignment="1">
      <alignment horizontal="left" vertical="center" wrapText="1"/>
    </xf>
    <xf numFmtId="49" fontId="13" fillId="13" borderId="25" xfId="3" applyNumberFormat="1" applyFont="1" applyFill="1" applyBorder="1" applyAlignment="1">
      <alignment horizontal="center" vertical="center" wrapText="1"/>
    </xf>
    <xf numFmtId="164" fontId="13" fillId="13" borderId="25" xfId="0" applyNumberFormat="1" applyFont="1" applyFill="1" applyBorder="1" applyAlignment="1">
      <alignment horizontal="center" vertical="center" wrapText="1"/>
    </xf>
    <xf numFmtId="10" fontId="11" fillId="13" borderId="3" xfId="7" applyNumberFormat="1" applyFont="1" applyFill="1" applyBorder="1" applyAlignment="1">
      <alignment horizontal="center" vertical="center" wrapText="1"/>
    </xf>
    <xf numFmtId="49" fontId="13" fillId="8" borderId="2" xfId="3" applyNumberFormat="1" applyFont="1" applyFill="1" applyBorder="1" applyAlignment="1">
      <alignment horizontal="center" vertical="center" wrapText="1"/>
    </xf>
    <xf numFmtId="166" fontId="13" fillId="8" borderId="2" xfId="0" applyNumberFormat="1" applyFont="1" applyFill="1" applyBorder="1" applyAlignment="1">
      <alignment horizontal="center" vertical="center" wrapText="1"/>
    </xf>
    <xf numFmtId="10" fontId="13" fillId="8" borderId="23" xfId="7" applyNumberFormat="1" applyFont="1" applyFill="1" applyBorder="1" applyAlignment="1">
      <alignment horizontal="center" vertical="center" wrapText="1"/>
    </xf>
    <xf numFmtId="10" fontId="13" fillId="0" borderId="28" xfId="7" applyNumberFormat="1" applyFont="1" applyBorder="1" applyAlignment="1">
      <alignment horizontal="center" vertical="center" wrapText="1"/>
    </xf>
    <xf numFmtId="10" fontId="13" fillId="8" borderId="28" xfId="7" applyNumberFormat="1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0" fontId="13" fillId="8" borderId="5" xfId="0" applyFont="1" applyFill="1" applyBorder="1" applyAlignment="1">
      <alignment horizontal="center" vertical="center" wrapText="1"/>
    </xf>
    <xf numFmtId="49" fontId="13" fillId="8" borderId="4" xfId="3" applyNumberFormat="1" applyFont="1" applyFill="1" applyBorder="1" applyAlignment="1">
      <alignment horizontal="center" vertical="center" wrapText="1"/>
    </xf>
    <xf numFmtId="10" fontId="13" fillId="0" borderId="45" xfId="7" applyNumberFormat="1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10" fontId="13" fillId="3" borderId="4" xfId="7" applyNumberFormat="1" applyFont="1" applyFill="1" applyBorder="1" applyAlignment="1">
      <alignment horizontal="center" vertical="center" wrapText="1"/>
    </xf>
    <xf numFmtId="164" fontId="11" fillId="13" borderId="52" xfId="1" applyNumberFormat="1" applyFont="1" applyFill="1" applyBorder="1" applyAlignment="1">
      <alignment horizontal="center" vertical="center" wrapText="1"/>
    </xf>
    <xf numFmtId="10" fontId="11" fillId="13" borderId="52" xfId="0" applyNumberFormat="1" applyFont="1" applyFill="1" applyBorder="1" applyAlignment="1">
      <alignment horizontal="center" vertical="center" wrapText="1"/>
    </xf>
    <xf numFmtId="44" fontId="11" fillId="0" borderId="0" xfId="2" applyFont="1" applyAlignment="1">
      <alignment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left" wrapText="1"/>
    </xf>
    <xf numFmtId="39" fontId="13" fillId="0" borderId="0" xfId="0" applyNumberFormat="1" applyFont="1" applyAlignment="1">
      <alignment horizontal="center" wrapText="1"/>
    </xf>
    <xf numFmtId="164" fontId="13" fillId="0" borderId="0" xfId="0" applyNumberFormat="1" applyFont="1" applyAlignment="1">
      <alignment wrapText="1"/>
    </xf>
    <xf numFmtId="44" fontId="13" fillId="0" borderId="0" xfId="0" applyNumberFormat="1" applyFont="1" applyAlignment="1">
      <alignment wrapText="1"/>
    </xf>
    <xf numFmtId="0" fontId="0" fillId="0" borderId="0" xfId="0" applyAlignment="1">
      <alignment vertical="center" wrapText="1"/>
    </xf>
    <xf numFmtId="171" fontId="2" fillId="3" borderId="0" xfId="13" applyFill="1" applyAlignment="1">
      <alignment vertical="center" wrapText="1"/>
    </xf>
    <xf numFmtId="2" fontId="13" fillId="3" borderId="5" xfId="13" applyNumberFormat="1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26" fillId="6" borderId="61" xfId="0" applyFont="1" applyFill="1" applyBorder="1" applyAlignment="1">
      <alignment vertical="center" wrapText="1"/>
    </xf>
    <xf numFmtId="8" fontId="13" fillId="0" borderId="28" xfId="7" applyNumberFormat="1" applyFont="1" applyBorder="1" applyAlignment="1">
      <alignment horizontal="center" vertical="center" wrapText="1"/>
    </xf>
    <xf numFmtId="10" fontId="13" fillId="0" borderId="0" xfId="0" applyNumberFormat="1" applyFont="1" applyAlignment="1">
      <alignment wrapText="1"/>
    </xf>
    <xf numFmtId="0" fontId="11" fillId="17" borderId="4" xfId="6" applyFont="1" applyFill="1" applyBorder="1" applyAlignment="1">
      <alignment vertical="center"/>
    </xf>
    <xf numFmtId="0" fontId="11" fillId="17" borderId="25" xfId="6" applyFont="1" applyFill="1" applyBorder="1" applyAlignment="1">
      <alignment horizontal="center" vertical="center" wrapText="1"/>
    </xf>
    <xf numFmtId="0" fontId="11" fillId="17" borderId="26" xfId="6" applyFont="1" applyFill="1" applyBorder="1" applyAlignment="1">
      <alignment horizontal="center" vertical="center" wrapText="1"/>
    </xf>
    <xf numFmtId="4" fontId="11" fillId="17" borderId="2" xfId="6" applyNumberFormat="1" applyFont="1" applyFill="1" applyBorder="1" applyAlignment="1">
      <alignment horizontal="center" vertical="center" wrapText="1"/>
    </xf>
    <xf numFmtId="0" fontId="11" fillId="17" borderId="0" xfId="0" applyFont="1" applyFill="1" applyAlignment="1">
      <alignment horizontal="center" vertical="center" wrapText="1"/>
    </xf>
    <xf numFmtId="0" fontId="13" fillId="17" borderId="0" xfId="0" applyFont="1" applyFill="1"/>
    <xf numFmtId="0" fontId="26" fillId="17" borderId="58" xfId="0" applyFont="1" applyFill="1" applyBorder="1" applyAlignment="1">
      <alignment horizontal="center" vertical="center" wrapText="1"/>
    </xf>
    <xf numFmtId="8" fontId="25" fillId="17" borderId="5" xfId="0" applyNumberFormat="1" applyFont="1" applyFill="1" applyBorder="1" applyAlignment="1">
      <alignment horizontal="center" vertical="center"/>
    </xf>
    <xf numFmtId="8" fontId="13" fillId="17" borderId="0" xfId="0" applyNumberFormat="1" applyFont="1" applyFill="1" applyAlignment="1">
      <alignment horizontal="center" vertical="center"/>
    </xf>
    <xf numFmtId="166" fontId="25" fillId="17" borderId="5" xfId="1" applyNumberFormat="1" applyFont="1" applyFill="1" applyBorder="1" applyAlignment="1">
      <alignment horizontal="center" vertical="center"/>
    </xf>
    <xf numFmtId="8" fontId="25" fillId="17" borderId="0" xfId="0" applyNumberFormat="1" applyFont="1" applyFill="1" applyAlignment="1">
      <alignment horizontal="center" vertical="center"/>
    </xf>
    <xf numFmtId="166" fontId="25" fillId="17" borderId="5" xfId="3" applyNumberFormat="1" applyFont="1" applyFill="1" applyBorder="1" applyAlignment="1">
      <alignment horizontal="right" vertical="center"/>
    </xf>
    <xf numFmtId="166" fontId="25" fillId="17" borderId="5" xfId="3" applyNumberFormat="1" applyFont="1" applyFill="1" applyBorder="1" applyAlignment="1">
      <alignment horizontal="center" vertical="center"/>
    </xf>
    <xf numFmtId="166" fontId="25" fillId="17" borderId="5" xfId="3" applyNumberFormat="1" applyFont="1" applyFill="1" applyBorder="1" applyAlignment="1">
      <alignment horizontal="center" vertical="center" wrapText="1"/>
    </xf>
    <xf numFmtId="0" fontId="26" fillId="17" borderId="61" xfId="0" applyFont="1" applyFill="1" applyBorder="1" applyAlignment="1">
      <alignment horizontal="center" vertical="center" wrapText="1"/>
    </xf>
    <xf numFmtId="44" fontId="25" fillId="17" borderId="13" xfId="20" applyFont="1" applyFill="1" applyBorder="1" applyAlignment="1">
      <alignment horizontal="center" vertical="center" wrapText="1"/>
    </xf>
    <xf numFmtId="44" fontId="25" fillId="17" borderId="5" xfId="20" applyFont="1" applyFill="1" applyBorder="1" applyAlignment="1">
      <alignment horizontal="center" vertical="center" wrapText="1"/>
    </xf>
    <xf numFmtId="44" fontId="25" fillId="17" borderId="3" xfId="20" applyFont="1" applyFill="1" applyBorder="1" applyAlignment="1">
      <alignment horizontal="center" vertical="center" wrapText="1"/>
    </xf>
    <xf numFmtId="8" fontId="25" fillId="17" borderId="5" xfId="0" applyNumberFormat="1" applyFont="1" applyFill="1" applyBorder="1" applyAlignment="1">
      <alignment horizontal="center" vertical="center" wrapText="1"/>
    </xf>
    <xf numFmtId="10" fontId="13" fillId="0" borderId="0" xfId="0" applyNumberFormat="1" applyFont="1"/>
    <xf numFmtId="8" fontId="13" fillId="17" borderId="2" xfId="2" applyNumberFormat="1" applyFont="1" applyFill="1" applyBorder="1" applyAlignment="1">
      <alignment horizontal="center" vertical="center"/>
    </xf>
    <xf numFmtId="39" fontId="11" fillId="17" borderId="14" xfId="1" applyNumberFormat="1" applyFont="1" applyFill="1" applyBorder="1" applyAlignment="1">
      <alignment horizontal="center" vertical="center" wrapText="1"/>
    </xf>
    <xf numFmtId="39" fontId="11" fillId="17" borderId="2" xfId="1" applyNumberFormat="1" applyFont="1" applyFill="1" applyBorder="1" applyAlignment="1">
      <alignment horizontal="center" vertical="center" wrapText="1"/>
    </xf>
    <xf numFmtId="44" fontId="13" fillId="17" borderId="13" xfId="0" applyNumberFormat="1" applyFont="1" applyFill="1" applyBorder="1" applyAlignment="1">
      <alignment horizontal="center" vertical="center" wrapText="1"/>
    </xf>
    <xf numFmtId="44" fontId="11" fillId="17" borderId="2" xfId="1" applyNumberFormat="1" applyFont="1" applyFill="1" applyBorder="1" applyAlignment="1">
      <alignment horizontal="center" vertical="center" wrapText="1"/>
    </xf>
    <xf numFmtId="44" fontId="13" fillId="17" borderId="5" xfId="0" applyNumberFormat="1" applyFont="1" applyFill="1" applyBorder="1" applyAlignment="1">
      <alignment horizontal="center" vertical="center" wrapText="1"/>
    </xf>
    <xf numFmtId="44" fontId="13" fillId="17" borderId="14" xfId="0" applyNumberFormat="1" applyFont="1" applyFill="1" applyBorder="1" applyAlignment="1">
      <alignment horizontal="center" vertical="center" wrapText="1"/>
    </xf>
    <xf numFmtId="44" fontId="11" fillId="17" borderId="2" xfId="0" applyNumberFormat="1" applyFont="1" applyFill="1" applyBorder="1" applyAlignment="1">
      <alignment vertical="center" wrapText="1"/>
    </xf>
    <xf numFmtId="44" fontId="13" fillId="17" borderId="12" xfId="0" applyNumberFormat="1" applyFont="1" applyFill="1" applyBorder="1" applyAlignment="1">
      <alignment horizontal="center" vertical="center" wrapText="1"/>
    </xf>
    <xf numFmtId="8" fontId="13" fillId="17" borderId="5" xfId="0" applyNumberFormat="1" applyFont="1" applyFill="1" applyBorder="1" applyAlignment="1">
      <alignment horizontal="center" vertical="center" wrapText="1"/>
    </xf>
    <xf numFmtId="44" fontId="13" fillId="17" borderId="2" xfId="1" applyNumberFormat="1" applyFont="1" applyFill="1" applyBorder="1" applyAlignment="1">
      <alignment horizontal="center" vertical="center"/>
    </xf>
    <xf numFmtId="44" fontId="13" fillId="17" borderId="13" xfId="1" applyNumberFormat="1" applyFont="1" applyFill="1" applyBorder="1" applyAlignment="1">
      <alignment horizontal="center" vertical="center"/>
    </xf>
    <xf numFmtId="44" fontId="13" fillId="17" borderId="5" xfId="1" applyNumberFormat="1" applyFont="1" applyFill="1" applyBorder="1" applyAlignment="1">
      <alignment horizontal="center" vertical="center"/>
    </xf>
    <xf numFmtId="44" fontId="13" fillId="17" borderId="14" xfId="1" applyNumberFormat="1" applyFont="1" applyFill="1" applyBorder="1" applyAlignment="1">
      <alignment horizontal="center" vertical="center"/>
    </xf>
    <xf numFmtId="44" fontId="11" fillId="17" borderId="25" xfId="0" applyNumberFormat="1" applyFont="1" applyFill="1" applyBorder="1" applyAlignment="1">
      <alignment horizontal="center" vertical="center"/>
    </xf>
    <xf numFmtId="39" fontId="11" fillId="17" borderId="26" xfId="1" applyNumberFormat="1" applyFont="1" applyFill="1" applyBorder="1" applyAlignment="1">
      <alignment horizontal="center" vertical="center" wrapText="1"/>
    </xf>
    <xf numFmtId="168" fontId="13" fillId="17" borderId="13" xfId="1" applyNumberFormat="1" applyFont="1" applyFill="1" applyBorder="1" applyAlignment="1">
      <alignment horizontal="center" vertical="center"/>
    </xf>
    <xf numFmtId="168" fontId="13" fillId="17" borderId="5" xfId="1" applyNumberFormat="1" applyFont="1" applyFill="1" applyBorder="1" applyAlignment="1">
      <alignment horizontal="center" vertical="center"/>
    </xf>
    <xf numFmtId="168" fontId="13" fillId="17" borderId="5" xfId="2" applyNumberFormat="1" applyFont="1" applyFill="1" applyBorder="1" applyAlignment="1">
      <alignment horizontal="center" vertical="center"/>
    </xf>
    <xf numFmtId="39" fontId="11" fillId="17" borderId="25" xfId="1" applyNumberFormat="1" applyFont="1" applyFill="1" applyBorder="1" applyAlignment="1">
      <alignment horizontal="center" vertical="center" wrapText="1"/>
    </xf>
    <xf numFmtId="166" fontId="13" fillId="17" borderId="2" xfId="0" applyNumberFormat="1" applyFont="1" applyFill="1" applyBorder="1" applyAlignment="1">
      <alignment horizontal="center" vertical="center"/>
    </xf>
    <xf numFmtId="168" fontId="13" fillId="17" borderId="5" xfId="0" applyNumberFormat="1" applyFont="1" applyFill="1" applyBorder="1" applyAlignment="1">
      <alignment horizontal="center" vertical="center"/>
    </xf>
    <xf numFmtId="44" fontId="13" fillId="17" borderId="5" xfId="2" applyFont="1" applyFill="1" applyBorder="1" applyAlignment="1">
      <alignment horizontal="center" vertical="center"/>
    </xf>
    <xf numFmtId="168" fontId="13" fillId="17" borderId="14" xfId="0" applyNumberFormat="1" applyFont="1" applyFill="1" applyBorder="1" applyAlignment="1">
      <alignment horizontal="center" vertical="center"/>
    </xf>
    <xf numFmtId="166" fontId="11" fillId="17" borderId="2" xfId="0" applyNumberFormat="1" applyFont="1" applyFill="1" applyBorder="1" applyAlignment="1">
      <alignment horizontal="center" vertical="center"/>
    </xf>
    <xf numFmtId="168" fontId="13" fillId="17" borderId="14" xfId="1" applyNumberFormat="1" applyFont="1" applyFill="1" applyBorder="1" applyAlignment="1">
      <alignment horizontal="center" vertical="center"/>
    </xf>
    <xf numFmtId="44" fontId="13" fillId="17" borderId="5" xfId="2" applyFont="1" applyFill="1" applyBorder="1" applyAlignment="1">
      <alignment horizontal="right" vertical="center"/>
    </xf>
    <xf numFmtId="164" fontId="13" fillId="17" borderId="13" xfId="0" applyNumberFormat="1" applyFont="1" applyFill="1" applyBorder="1" applyAlignment="1">
      <alignment horizontal="center" vertical="center" wrapText="1"/>
    </xf>
    <xf numFmtId="164" fontId="13" fillId="17" borderId="5" xfId="0" applyNumberFormat="1" applyFont="1" applyFill="1" applyBorder="1" applyAlignment="1">
      <alignment horizontal="center" vertical="center" wrapText="1"/>
    </xf>
    <xf numFmtId="164" fontId="13" fillId="17" borderId="25" xfId="0" applyNumberFormat="1" applyFont="1" applyFill="1" applyBorder="1" applyAlignment="1">
      <alignment horizontal="center" vertical="center" wrapText="1"/>
    </xf>
    <xf numFmtId="164" fontId="13" fillId="17" borderId="2" xfId="0" applyNumberFormat="1" applyFont="1" applyFill="1" applyBorder="1" applyAlignment="1">
      <alignment horizontal="center" vertical="center" wrapText="1"/>
    </xf>
    <xf numFmtId="166" fontId="13" fillId="17" borderId="13" xfId="12" applyNumberFormat="1" applyFont="1" applyFill="1" applyBorder="1" applyAlignment="1">
      <alignment horizontal="center" vertical="center"/>
    </xf>
    <xf numFmtId="166" fontId="13" fillId="17" borderId="5" xfId="12" applyNumberFormat="1" applyFont="1" applyFill="1" applyBorder="1" applyAlignment="1">
      <alignment horizontal="center" vertical="center"/>
    </xf>
    <xf numFmtId="166" fontId="13" fillId="17" borderId="0" xfId="12" applyNumberFormat="1" applyFont="1" applyFill="1" applyBorder="1" applyAlignment="1">
      <alignment horizontal="center" vertical="center"/>
    </xf>
    <xf numFmtId="164" fontId="13" fillId="17" borderId="14" xfId="0" applyNumberFormat="1" applyFont="1" applyFill="1" applyBorder="1" applyAlignment="1">
      <alignment horizontal="center" vertical="center" wrapText="1"/>
    </xf>
    <xf numFmtId="0" fontId="11" fillId="17" borderId="2" xfId="0" applyFont="1" applyFill="1" applyBorder="1" applyAlignment="1">
      <alignment horizontal="center" vertical="center" wrapText="1"/>
    </xf>
    <xf numFmtId="7" fontId="13" fillId="17" borderId="13" xfId="1" applyNumberFormat="1" applyFont="1" applyFill="1" applyBorder="1" applyAlignment="1">
      <alignment horizontal="center" vertical="center" wrapText="1"/>
    </xf>
    <xf numFmtId="7" fontId="13" fillId="17" borderId="5" xfId="12" applyNumberFormat="1" applyFont="1" applyFill="1" applyBorder="1" applyAlignment="1">
      <alignment horizontal="center" vertical="center"/>
    </xf>
    <xf numFmtId="164" fontId="11" fillId="17" borderId="2" xfId="1" applyNumberFormat="1" applyFont="1" applyFill="1" applyBorder="1" applyAlignment="1">
      <alignment horizontal="center" vertical="center" wrapText="1"/>
    </xf>
    <xf numFmtId="8" fontId="13" fillId="17" borderId="13" xfId="2" applyNumberFormat="1" applyFont="1" applyFill="1" applyBorder="1" applyAlignment="1" applyProtection="1">
      <alignment horizontal="center" vertical="center"/>
    </xf>
    <xf numFmtId="39" fontId="13" fillId="17" borderId="0" xfId="0" applyNumberFormat="1" applyFont="1" applyFill="1" applyAlignment="1">
      <alignment horizontal="center" wrapText="1"/>
    </xf>
    <xf numFmtId="0" fontId="13" fillId="0" borderId="5" xfId="0" applyFont="1" applyBorder="1"/>
    <xf numFmtId="10" fontId="13" fillId="0" borderId="5" xfId="0" applyNumberFormat="1" applyFont="1" applyBorder="1"/>
    <xf numFmtId="10" fontId="13" fillId="3" borderId="5" xfId="3" applyNumberFormat="1" applyFont="1" applyFill="1" applyBorder="1" applyAlignment="1">
      <alignment horizontal="left"/>
    </xf>
    <xf numFmtId="0" fontId="11" fillId="3" borderId="22" xfId="3" applyFont="1" applyFill="1" applyBorder="1" applyAlignment="1">
      <alignment horizontal="center"/>
    </xf>
    <xf numFmtId="0" fontId="11" fillId="3" borderId="66" xfId="3" applyFont="1" applyFill="1" applyBorder="1" applyAlignment="1">
      <alignment horizontal="center"/>
    </xf>
    <xf numFmtId="0" fontId="11" fillId="3" borderId="66" xfId="3" applyFont="1" applyFill="1" applyBorder="1" applyAlignment="1">
      <alignment horizontal="center" vertical="center"/>
    </xf>
    <xf numFmtId="0" fontId="11" fillId="3" borderId="22" xfId="3" applyFont="1" applyFill="1" applyBorder="1" applyAlignment="1">
      <alignment horizontal="center" vertical="center"/>
    </xf>
    <xf numFmtId="0" fontId="11" fillId="3" borderId="56" xfId="3" applyFont="1" applyFill="1" applyBorder="1" applyAlignment="1">
      <alignment horizontal="center" vertical="center"/>
    </xf>
    <xf numFmtId="44" fontId="11" fillId="3" borderId="3" xfId="2" applyFont="1" applyFill="1" applyBorder="1" applyAlignment="1">
      <alignment horizontal="left"/>
    </xf>
    <xf numFmtId="44" fontId="11" fillId="3" borderId="5" xfId="2" applyFont="1" applyFill="1" applyBorder="1" applyAlignment="1">
      <alignment horizontal="left"/>
    </xf>
    <xf numFmtId="0" fontId="13" fillId="2" borderId="65" xfId="3" applyFont="1" applyFill="1" applyBorder="1" applyAlignment="1">
      <alignment horizontal="center"/>
    </xf>
    <xf numFmtId="0" fontId="13" fillId="2" borderId="68" xfId="3" applyFont="1" applyFill="1" applyBorder="1" applyAlignment="1">
      <alignment horizontal="center"/>
    </xf>
    <xf numFmtId="9" fontId="11" fillId="8" borderId="5" xfId="3" applyNumberFormat="1" applyFont="1" applyFill="1" applyBorder="1" applyAlignment="1">
      <alignment horizontal="center"/>
    </xf>
    <xf numFmtId="8" fontId="13" fillId="8" borderId="5" xfId="3" applyNumberFormat="1" applyFont="1" applyFill="1" applyBorder="1" applyAlignment="1">
      <alignment horizontal="center"/>
    </xf>
    <xf numFmtId="0" fontId="13" fillId="8" borderId="5" xfId="3" applyFont="1" applyFill="1" applyBorder="1"/>
    <xf numFmtId="174" fontId="13" fillId="18" borderId="5" xfId="0" applyNumberFormat="1" applyFont="1" applyFill="1" applyBorder="1" applyAlignment="1">
      <alignment horizontal="center" vertical="center"/>
    </xf>
    <xf numFmtId="0" fontId="11" fillId="8" borderId="63" xfId="3" applyFont="1" applyFill="1" applyBorder="1" applyAlignment="1">
      <alignment horizontal="center"/>
    </xf>
    <xf numFmtId="0" fontId="11" fillId="8" borderId="64" xfId="3" applyFont="1" applyFill="1" applyBorder="1" applyAlignment="1">
      <alignment horizontal="center"/>
    </xf>
    <xf numFmtId="0" fontId="11" fillId="8" borderId="49" xfId="3" applyFont="1" applyFill="1" applyBorder="1" applyAlignment="1">
      <alignment horizontal="center"/>
    </xf>
    <xf numFmtId="0" fontId="3" fillId="3" borderId="0" xfId="6" applyFont="1" applyFill="1" applyAlignment="1">
      <alignment vertical="center"/>
    </xf>
    <xf numFmtId="167" fontId="3" fillId="3" borderId="0" xfId="6" applyNumberFormat="1" applyFont="1" applyFill="1" applyAlignment="1">
      <alignment vertical="center" wrapText="1"/>
    </xf>
    <xf numFmtId="14" fontId="3" fillId="3" borderId="0" xfId="6" applyNumberFormat="1" applyFont="1" applyFill="1" applyAlignment="1">
      <alignment vertical="center" wrapText="1"/>
    </xf>
    <xf numFmtId="0" fontId="11" fillId="13" borderId="24" xfId="6" applyFont="1" applyFill="1" applyBorder="1" applyAlignment="1">
      <alignment vertical="center" wrapText="1"/>
    </xf>
    <xf numFmtId="0" fontId="3" fillId="13" borderId="24" xfId="6" applyFont="1" applyFill="1" applyBorder="1" applyAlignment="1">
      <alignment horizontal="left" vertical="center" wrapText="1"/>
    </xf>
    <xf numFmtId="0" fontId="3" fillId="13" borderId="4" xfId="6" applyFont="1" applyFill="1" applyBorder="1" applyAlignment="1">
      <alignment vertical="center"/>
    </xf>
    <xf numFmtId="44" fontId="3" fillId="3" borderId="2" xfId="6" applyNumberFormat="1" applyFont="1" applyFill="1" applyBorder="1" applyAlignment="1">
      <alignment horizontal="left" vertical="center"/>
    </xf>
    <xf numFmtId="4" fontId="3" fillId="13" borderId="5" xfId="6" applyNumberFormat="1" applyFont="1" applyFill="1" applyBorder="1" applyAlignment="1">
      <alignment horizontal="left" vertical="center" wrapText="1"/>
    </xf>
    <xf numFmtId="10" fontId="3" fillId="0" borderId="4" xfId="8" applyNumberFormat="1" applyFont="1" applyBorder="1" applyAlignment="1">
      <alignment horizontal="left" vertical="center" wrapText="1"/>
    </xf>
    <xf numFmtId="0" fontId="3" fillId="13" borderId="22" xfId="6" applyFont="1" applyFill="1" applyBorder="1" applyAlignment="1">
      <alignment vertical="center" wrapText="1"/>
    </xf>
    <xf numFmtId="0" fontId="3" fillId="3" borderId="4" xfId="6" applyFont="1" applyFill="1" applyBorder="1" applyAlignment="1">
      <alignment vertical="center" wrapText="1"/>
    </xf>
    <xf numFmtId="0" fontId="3" fillId="13" borderId="24" xfId="6" applyFont="1" applyFill="1" applyBorder="1" applyAlignment="1">
      <alignment vertical="center" wrapText="1"/>
    </xf>
    <xf numFmtId="164" fontId="3" fillId="3" borderId="4" xfId="6" applyNumberFormat="1" applyFont="1" applyFill="1" applyBorder="1" applyAlignment="1">
      <alignment horizontal="left" vertical="center" wrapText="1"/>
    </xf>
    <xf numFmtId="4" fontId="3" fillId="13" borderId="5" xfId="6" applyNumberFormat="1" applyFont="1" applyFill="1" applyBorder="1" applyAlignment="1">
      <alignment horizontal="center" vertical="center" wrapText="1"/>
    </xf>
    <xf numFmtId="2" fontId="31" fillId="3" borderId="0" xfId="16" applyNumberFormat="1" applyFont="1" applyFill="1" applyAlignment="1">
      <alignment vertical="center"/>
    </xf>
    <xf numFmtId="0" fontId="26" fillId="13" borderId="24" xfId="6" applyFont="1" applyFill="1" applyBorder="1" applyAlignment="1">
      <alignment horizontal="left" vertical="center" wrapText="1"/>
    </xf>
    <xf numFmtId="0" fontId="26" fillId="17" borderId="2" xfId="6" applyFont="1" applyFill="1" applyBorder="1" applyAlignment="1">
      <alignment horizontal="left" vertical="center"/>
    </xf>
    <xf numFmtId="4" fontId="26" fillId="13" borderId="5" xfId="6" applyNumberFormat="1" applyFont="1" applyFill="1" applyBorder="1" applyAlignment="1">
      <alignment horizontal="left" vertical="center" wrapText="1"/>
    </xf>
    <xf numFmtId="0" fontId="26" fillId="17" borderId="0" xfId="6" applyFont="1" applyFill="1" applyAlignment="1">
      <alignment horizontal="center" vertical="center" wrapText="1"/>
    </xf>
    <xf numFmtId="0" fontId="26" fillId="13" borderId="22" xfId="6" applyFont="1" applyFill="1" applyBorder="1" applyAlignment="1">
      <alignment vertical="center" wrapText="1"/>
    </xf>
    <xf numFmtId="0" fontId="26" fillId="13" borderId="24" xfId="6" applyFont="1" applyFill="1" applyBorder="1" applyAlignment="1">
      <alignment vertical="center" wrapText="1"/>
    </xf>
    <xf numFmtId="4" fontId="26" fillId="17" borderId="2" xfId="6" applyNumberFormat="1" applyFont="1" applyFill="1" applyBorder="1" applyAlignment="1">
      <alignment horizontal="center" vertical="center" wrapText="1"/>
    </xf>
    <xf numFmtId="0" fontId="3" fillId="3" borderId="4" xfId="6" applyFont="1" applyFill="1" applyBorder="1" applyAlignment="1">
      <alignment horizontal="left" vertical="center"/>
    </xf>
    <xf numFmtId="0" fontId="3" fillId="3" borderId="2" xfId="6" applyFont="1" applyFill="1" applyBorder="1" applyAlignment="1">
      <alignment horizontal="left" vertical="center"/>
    </xf>
    <xf numFmtId="0" fontId="3" fillId="3" borderId="3" xfId="6" applyFont="1" applyFill="1" applyBorder="1" applyAlignment="1">
      <alignment horizontal="left" vertical="center"/>
    </xf>
    <xf numFmtId="0" fontId="3" fillId="0" borderId="4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9" borderId="24" xfId="0" applyFont="1" applyFill="1" applyBorder="1" applyAlignment="1">
      <alignment horizontal="center"/>
    </xf>
    <xf numFmtId="0" fontId="3" fillId="9" borderId="5" xfId="0" applyFont="1" applyFill="1" applyBorder="1" applyAlignment="1">
      <alignment horizontal="center"/>
    </xf>
    <xf numFmtId="0" fontId="3" fillId="9" borderId="18" xfId="0" applyFont="1" applyFill="1" applyBorder="1" applyAlignment="1">
      <alignment horizontal="center"/>
    </xf>
    <xf numFmtId="0" fontId="3" fillId="9" borderId="32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0" fontId="3" fillId="9" borderId="33" xfId="0" applyFont="1" applyFill="1" applyBorder="1" applyAlignment="1">
      <alignment horizontal="center"/>
    </xf>
    <xf numFmtId="0" fontId="3" fillId="3" borderId="4" xfId="6" applyFont="1" applyFill="1" applyBorder="1" applyAlignment="1">
      <alignment horizontal="left" vertical="center" wrapText="1"/>
    </xf>
    <xf numFmtId="0" fontId="3" fillId="3" borderId="2" xfId="6" applyFont="1" applyFill="1" applyBorder="1" applyAlignment="1">
      <alignment horizontal="left" vertical="center" wrapText="1"/>
    </xf>
    <xf numFmtId="0" fontId="3" fillId="13" borderId="5" xfId="6" applyFont="1" applyFill="1" applyBorder="1" applyAlignment="1">
      <alignment horizontal="center" vertical="center" wrapText="1"/>
    </xf>
    <xf numFmtId="14" fontId="3" fillId="3" borderId="5" xfId="6" applyNumberFormat="1" applyFont="1" applyFill="1" applyBorder="1" applyAlignment="1">
      <alignment horizontal="left" vertical="center" wrapText="1"/>
    </xf>
    <xf numFmtId="167" fontId="3" fillId="3" borderId="5" xfId="6" applyNumberFormat="1" applyFont="1" applyFill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9" borderId="51" xfId="0" applyFont="1" applyFill="1" applyBorder="1" applyAlignment="1">
      <alignment horizontal="center"/>
    </xf>
    <xf numFmtId="0" fontId="3" fillId="9" borderId="53" xfId="0" applyFont="1" applyFill="1" applyBorder="1" applyAlignment="1">
      <alignment horizontal="center"/>
    </xf>
    <xf numFmtId="0" fontId="3" fillId="9" borderId="29" xfId="0" applyFont="1" applyFill="1" applyBorder="1" applyAlignment="1">
      <alignment horizontal="center"/>
    </xf>
    <xf numFmtId="0" fontId="3" fillId="9" borderId="30" xfId="0" applyFont="1" applyFill="1" applyBorder="1" applyAlignment="1">
      <alignment horizontal="center"/>
    </xf>
    <xf numFmtId="0" fontId="2" fillId="0" borderId="2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8" borderId="5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40" fontId="11" fillId="3" borderId="23" xfId="3" applyNumberFormat="1" applyFont="1" applyFill="1" applyBorder="1" applyAlignment="1">
      <alignment horizontal="center" vertical="center"/>
    </xf>
    <xf numFmtId="40" fontId="11" fillId="3" borderId="43" xfId="3" applyNumberFormat="1" applyFont="1" applyFill="1" applyBorder="1" applyAlignment="1">
      <alignment horizontal="center" vertical="center"/>
    </xf>
    <xf numFmtId="40" fontId="11" fillId="3" borderId="28" xfId="3" applyNumberFormat="1" applyFont="1" applyFill="1" applyBorder="1" applyAlignment="1">
      <alignment horizontal="center" vertical="center"/>
    </xf>
    <xf numFmtId="40" fontId="11" fillId="3" borderId="44" xfId="3" applyNumberFormat="1" applyFont="1" applyFill="1" applyBorder="1" applyAlignment="1">
      <alignment horizontal="center" vertical="center"/>
    </xf>
    <xf numFmtId="40" fontId="11" fillId="3" borderId="45" xfId="3" applyNumberFormat="1" applyFont="1" applyFill="1" applyBorder="1" applyAlignment="1">
      <alignment horizontal="center" vertical="center"/>
    </xf>
    <xf numFmtId="40" fontId="11" fillId="3" borderId="46" xfId="3" applyNumberFormat="1" applyFont="1" applyFill="1" applyBorder="1" applyAlignment="1">
      <alignment horizontal="center" vertical="center"/>
    </xf>
    <xf numFmtId="0" fontId="11" fillId="3" borderId="23" xfId="3" applyFont="1" applyFill="1" applyBorder="1" applyAlignment="1">
      <alignment horizontal="center" vertical="center" wrapText="1"/>
    </xf>
    <xf numFmtId="0" fontId="11" fillId="3" borderId="43" xfId="3" applyFont="1" applyFill="1" applyBorder="1" applyAlignment="1">
      <alignment horizontal="center" vertical="center" wrapText="1"/>
    </xf>
    <xf numFmtId="0" fontId="11" fillId="3" borderId="28" xfId="3" applyFont="1" applyFill="1" applyBorder="1" applyAlignment="1">
      <alignment horizontal="center" vertical="center" wrapText="1"/>
    </xf>
    <xf numFmtId="0" fontId="11" fillId="3" borderId="44" xfId="3" applyFont="1" applyFill="1" applyBorder="1" applyAlignment="1">
      <alignment horizontal="center" vertical="center" wrapText="1"/>
    </xf>
    <xf numFmtId="0" fontId="11" fillId="3" borderId="45" xfId="3" applyFont="1" applyFill="1" applyBorder="1" applyAlignment="1">
      <alignment horizontal="center" vertical="center" wrapText="1"/>
    </xf>
    <xf numFmtId="0" fontId="11" fillId="3" borderId="46" xfId="3" applyFont="1" applyFill="1" applyBorder="1" applyAlignment="1">
      <alignment horizontal="center" vertical="center" wrapText="1"/>
    </xf>
    <xf numFmtId="40" fontId="11" fillId="3" borderId="23" xfId="3" applyNumberFormat="1" applyFont="1" applyFill="1" applyBorder="1" applyAlignment="1">
      <alignment horizontal="center" vertical="center" wrapText="1"/>
    </xf>
    <xf numFmtId="40" fontId="11" fillId="3" borderId="43" xfId="3" applyNumberFormat="1" applyFont="1" applyFill="1" applyBorder="1" applyAlignment="1">
      <alignment horizontal="center" vertical="center" wrapText="1"/>
    </xf>
    <xf numFmtId="40" fontId="11" fillId="3" borderId="28" xfId="3" applyNumberFormat="1" applyFont="1" applyFill="1" applyBorder="1" applyAlignment="1">
      <alignment horizontal="center" vertical="center" wrapText="1"/>
    </xf>
    <xf numFmtId="40" fontId="11" fillId="3" borderId="44" xfId="3" applyNumberFormat="1" applyFont="1" applyFill="1" applyBorder="1" applyAlignment="1">
      <alignment horizontal="center" vertical="center" wrapText="1"/>
    </xf>
    <xf numFmtId="40" fontId="11" fillId="3" borderId="45" xfId="3" applyNumberFormat="1" applyFont="1" applyFill="1" applyBorder="1" applyAlignment="1">
      <alignment horizontal="center" vertical="center" wrapText="1"/>
    </xf>
    <xf numFmtId="40" fontId="11" fillId="3" borderId="46" xfId="3" applyNumberFormat="1" applyFont="1" applyFill="1" applyBorder="1" applyAlignment="1">
      <alignment horizontal="center" vertical="center" wrapText="1"/>
    </xf>
    <xf numFmtId="0" fontId="11" fillId="3" borderId="23" xfId="3" applyFont="1" applyFill="1" applyBorder="1" applyAlignment="1">
      <alignment horizontal="center" vertical="center"/>
    </xf>
    <xf numFmtId="0" fontId="11" fillId="3" borderId="43" xfId="3" applyFont="1" applyFill="1" applyBorder="1" applyAlignment="1">
      <alignment horizontal="center" vertical="center"/>
    </xf>
    <xf numFmtId="0" fontId="11" fillId="3" borderId="28" xfId="3" applyFont="1" applyFill="1" applyBorder="1" applyAlignment="1">
      <alignment horizontal="center" vertical="center"/>
    </xf>
    <xf numFmtId="0" fontId="11" fillId="3" borderId="44" xfId="3" applyFont="1" applyFill="1" applyBorder="1" applyAlignment="1">
      <alignment horizontal="center" vertical="center"/>
    </xf>
    <xf numFmtId="0" fontId="11" fillId="3" borderId="45" xfId="3" applyFont="1" applyFill="1" applyBorder="1" applyAlignment="1">
      <alignment horizontal="center" vertical="center"/>
    </xf>
    <xf numFmtId="0" fontId="11" fillId="3" borderId="46" xfId="3" applyFont="1" applyFill="1" applyBorder="1" applyAlignment="1">
      <alignment horizontal="center" vertical="center"/>
    </xf>
    <xf numFmtId="0" fontId="11" fillId="8" borderId="4" xfId="3" applyFont="1" applyFill="1" applyBorder="1" applyAlignment="1">
      <alignment horizontal="center" vertical="center"/>
    </xf>
    <xf numFmtId="0" fontId="11" fillId="8" borderId="3" xfId="3" applyFont="1" applyFill="1" applyBorder="1" applyAlignment="1">
      <alignment horizontal="center" vertical="center"/>
    </xf>
    <xf numFmtId="0" fontId="11" fillId="3" borderId="85" xfId="3" applyFont="1" applyFill="1" applyBorder="1" applyAlignment="1">
      <alignment horizontal="center" vertical="center"/>
    </xf>
    <xf numFmtId="0" fontId="11" fillId="3" borderId="53" xfId="3" applyFont="1" applyFill="1" applyBorder="1" applyAlignment="1">
      <alignment horizontal="center" vertical="center"/>
    </xf>
    <xf numFmtId="0" fontId="11" fillId="3" borderId="4" xfId="3" applyFont="1" applyFill="1" applyBorder="1" applyAlignment="1">
      <alignment horizontal="center" vertical="center"/>
    </xf>
    <xf numFmtId="0" fontId="11" fillId="3" borderId="3" xfId="3" applyFont="1" applyFill="1" applyBorder="1" applyAlignment="1">
      <alignment horizontal="center" vertical="center"/>
    </xf>
    <xf numFmtId="14" fontId="11" fillId="3" borderId="5" xfId="6" applyNumberFormat="1" applyFont="1" applyFill="1" applyBorder="1" applyAlignment="1">
      <alignment horizontal="left" vertical="center" wrapText="1"/>
    </xf>
    <xf numFmtId="10" fontId="11" fillId="0" borderId="5" xfId="8" applyNumberFormat="1" applyFont="1" applyBorder="1" applyAlignment="1">
      <alignment horizontal="left" vertical="center" wrapText="1"/>
    </xf>
    <xf numFmtId="0" fontId="11" fillId="3" borderId="5" xfId="6" applyFont="1" applyFill="1" applyBorder="1" applyAlignment="1">
      <alignment horizontal="left" vertical="center" wrapText="1"/>
    </xf>
    <xf numFmtId="0" fontId="26" fillId="3" borderId="9" xfId="3" applyFont="1" applyFill="1" applyBorder="1" applyAlignment="1">
      <alignment horizontal="center" vertical="center"/>
    </xf>
    <xf numFmtId="0" fontId="11" fillId="3" borderId="10" xfId="3" applyFont="1" applyFill="1" applyBorder="1" applyAlignment="1">
      <alignment horizontal="center" vertical="center"/>
    </xf>
    <xf numFmtId="0" fontId="11" fillId="3" borderId="7" xfId="3" applyFont="1" applyFill="1" applyBorder="1" applyAlignment="1">
      <alignment horizontal="center" vertical="center"/>
    </xf>
    <xf numFmtId="0" fontId="11" fillId="13" borderId="32" xfId="6" applyFont="1" applyFill="1" applyBorder="1" applyAlignment="1">
      <alignment horizontal="left" vertical="center" wrapText="1"/>
    </xf>
    <xf numFmtId="0" fontId="11" fillId="13" borderId="3" xfId="6" applyFont="1" applyFill="1" applyBorder="1" applyAlignment="1">
      <alignment horizontal="left" vertical="center" wrapText="1"/>
    </xf>
    <xf numFmtId="164" fontId="11" fillId="3" borderId="5" xfId="6" applyNumberFormat="1" applyFont="1" applyFill="1" applyBorder="1" applyAlignment="1">
      <alignment horizontal="left" vertical="center" wrapText="1"/>
    </xf>
    <xf numFmtId="0" fontId="11" fillId="3" borderId="77" xfId="3" applyFont="1" applyFill="1" applyBorder="1" applyAlignment="1">
      <alignment horizontal="right"/>
    </xf>
    <xf numFmtId="0" fontId="11" fillId="3" borderId="5" xfId="6" applyFont="1" applyFill="1" applyBorder="1" applyAlignment="1">
      <alignment horizontal="left" vertical="center"/>
    </xf>
    <xf numFmtId="0" fontId="11" fillId="0" borderId="45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3" borderId="4" xfId="6" applyFont="1" applyFill="1" applyBorder="1" applyAlignment="1">
      <alignment horizontal="left" vertical="center"/>
    </xf>
    <xf numFmtId="0" fontId="11" fillId="3" borderId="2" xfId="6" applyFont="1" applyFill="1" applyBorder="1" applyAlignment="1">
      <alignment horizontal="left" vertical="center"/>
    </xf>
    <xf numFmtId="0" fontId="11" fillId="3" borderId="3" xfId="6" applyFont="1" applyFill="1" applyBorder="1" applyAlignment="1">
      <alignment horizontal="left" vertical="center"/>
    </xf>
    <xf numFmtId="167" fontId="11" fillId="3" borderId="5" xfId="6" applyNumberFormat="1" applyFont="1" applyFill="1" applyBorder="1" applyAlignment="1">
      <alignment horizontal="left" vertical="center" wrapText="1"/>
    </xf>
    <xf numFmtId="4" fontId="11" fillId="13" borderId="4" xfId="6" applyNumberFormat="1" applyFont="1" applyFill="1" applyBorder="1" applyAlignment="1">
      <alignment horizontal="left" vertical="center" wrapText="1"/>
    </xf>
    <xf numFmtId="4" fontId="11" fillId="13" borderId="3" xfId="6" applyNumberFormat="1" applyFont="1" applyFill="1" applyBorder="1" applyAlignment="1">
      <alignment horizontal="left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8" borderId="49" xfId="3" applyFont="1" applyFill="1" applyBorder="1" applyAlignment="1">
      <alignment horizontal="center"/>
    </xf>
    <xf numFmtId="0" fontId="11" fillId="8" borderId="50" xfId="3" applyFont="1" applyFill="1" applyBorder="1" applyAlignment="1">
      <alignment horizontal="center"/>
    </xf>
    <xf numFmtId="0" fontId="11" fillId="13" borderId="5" xfId="6" applyFont="1" applyFill="1" applyBorder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167" fontId="12" fillId="3" borderId="6" xfId="0" applyNumberFormat="1" applyFont="1" applyFill="1" applyBorder="1" applyAlignment="1">
      <alignment horizontal="center"/>
    </xf>
    <xf numFmtId="167" fontId="12" fillId="3" borderId="7" xfId="0" applyNumberFormat="1" applyFont="1" applyFill="1" applyBorder="1" applyAlignment="1">
      <alignment horizontal="center"/>
    </xf>
    <xf numFmtId="167" fontId="12" fillId="3" borderId="8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12" fillId="3" borderId="11" xfId="0" applyFont="1" applyFill="1" applyBorder="1" applyAlignment="1">
      <alignment horizontal="center"/>
    </xf>
    <xf numFmtId="0" fontId="11" fillId="13" borderId="5" xfId="6" applyFont="1" applyFill="1" applyBorder="1" applyAlignment="1">
      <alignment horizontal="left" vertical="center" wrapText="1"/>
    </xf>
    <xf numFmtId="0" fontId="3" fillId="3" borderId="3" xfId="6" applyFont="1" applyFill="1" applyBorder="1" applyAlignment="1">
      <alignment horizontal="left" vertical="center" wrapText="1"/>
    </xf>
    <xf numFmtId="164" fontId="3" fillId="3" borderId="4" xfId="6" applyNumberFormat="1" applyFont="1" applyFill="1" applyBorder="1" applyAlignment="1">
      <alignment horizontal="left" vertical="center" wrapText="1"/>
    </xf>
    <xf numFmtId="164" fontId="3" fillId="3" borderId="3" xfId="6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2" fillId="3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wrapText="1"/>
    </xf>
    <xf numFmtId="0" fontId="2" fillId="3" borderId="0" xfId="0" applyFont="1" applyFill="1" applyAlignment="1">
      <alignment wrapText="1"/>
    </xf>
    <xf numFmtId="0" fontId="2" fillId="3" borderId="11" xfId="0" applyFont="1" applyFill="1" applyBorder="1" applyAlignment="1">
      <alignment wrapText="1"/>
    </xf>
    <xf numFmtId="0" fontId="2" fillId="0" borderId="10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3" fillId="0" borderId="69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71" xfId="0" applyFont="1" applyBorder="1" applyAlignment="1">
      <alignment horizontal="center"/>
    </xf>
    <xf numFmtId="4" fontId="11" fillId="13" borderId="5" xfId="6" applyNumberFormat="1" applyFont="1" applyFill="1" applyBorder="1" applyAlignment="1">
      <alignment horizontal="left" vertical="center" wrapText="1"/>
    </xf>
    <xf numFmtId="44" fontId="3" fillId="3" borderId="2" xfId="6" applyNumberFormat="1" applyFont="1" applyFill="1" applyBorder="1" applyAlignment="1">
      <alignment horizontal="left" vertical="center"/>
    </xf>
    <xf numFmtId="10" fontId="3" fillId="0" borderId="4" xfId="8" applyNumberFormat="1" applyFont="1" applyBorder="1" applyAlignment="1">
      <alignment horizontal="left" vertical="center" wrapText="1"/>
    </xf>
    <xf numFmtId="10" fontId="3" fillId="0" borderId="3" xfId="8" applyNumberFormat="1" applyFont="1" applyBorder="1" applyAlignment="1">
      <alignment horizontal="left" vertical="center" wrapText="1"/>
    </xf>
    <xf numFmtId="0" fontId="3" fillId="13" borderId="4" xfId="6" applyFont="1" applyFill="1" applyBorder="1" applyAlignment="1">
      <alignment horizontal="center" vertical="center"/>
    </xf>
    <xf numFmtId="0" fontId="3" fillId="13" borderId="2" xfId="6" applyFont="1" applyFill="1" applyBorder="1" applyAlignment="1">
      <alignment horizontal="center" vertical="center"/>
    </xf>
    <xf numFmtId="167" fontId="3" fillId="3" borderId="4" xfId="6" applyNumberFormat="1" applyFont="1" applyFill="1" applyBorder="1" applyAlignment="1">
      <alignment horizontal="left" vertical="center" wrapText="1"/>
    </xf>
    <xf numFmtId="167" fontId="3" fillId="3" borderId="2" xfId="6" applyNumberFormat="1" applyFont="1" applyFill="1" applyBorder="1" applyAlignment="1">
      <alignment horizontal="left" vertical="center" wrapText="1"/>
    </xf>
    <xf numFmtId="167" fontId="3" fillId="3" borderId="3" xfId="6" applyNumberFormat="1" applyFont="1" applyFill="1" applyBorder="1" applyAlignment="1">
      <alignment horizontal="left" vertical="center" wrapText="1"/>
    </xf>
    <xf numFmtId="0" fontId="3" fillId="13" borderId="28" xfId="6" applyFont="1" applyFill="1" applyBorder="1" applyAlignment="1">
      <alignment horizontal="center" vertical="center" wrapText="1"/>
    </xf>
    <xf numFmtId="0" fontId="3" fillId="13" borderId="44" xfId="6" applyFont="1" applyFill="1" applyBorder="1" applyAlignment="1">
      <alignment horizontal="center" vertical="center" wrapText="1"/>
    </xf>
    <xf numFmtId="0" fontId="3" fillId="13" borderId="45" xfId="6" applyFont="1" applyFill="1" applyBorder="1" applyAlignment="1">
      <alignment horizontal="center" vertical="center" wrapText="1"/>
    </xf>
    <xf numFmtId="0" fontId="3" fillId="13" borderId="46" xfId="6" applyFont="1" applyFill="1" applyBorder="1" applyAlignment="1">
      <alignment horizontal="center" vertical="center" wrapText="1"/>
    </xf>
    <xf numFmtId="0" fontId="14" fillId="0" borderId="4" xfId="11" applyFont="1" applyBorder="1" applyAlignment="1">
      <alignment horizontal="left" vertical="center"/>
    </xf>
    <xf numFmtId="0" fontId="14" fillId="0" borderId="2" xfId="11" applyFont="1" applyBorder="1" applyAlignment="1">
      <alignment horizontal="left" vertical="center"/>
    </xf>
    <xf numFmtId="0" fontId="14" fillId="0" borderId="3" xfId="11" applyFont="1" applyBorder="1" applyAlignment="1">
      <alignment horizontal="left" vertical="center"/>
    </xf>
    <xf numFmtId="0" fontId="14" fillId="0" borderId="49" xfId="11" applyFont="1" applyBorder="1" applyAlignment="1">
      <alignment horizontal="left" vertical="center"/>
    </xf>
    <xf numFmtId="0" fontId="14" fillId="0" borderId="30" xfId="11" applyFont="1" applyBorder="1" applyAlignment="1">
      <alignment horizontal="left" vertical="center"/>
    </xf>
    <xf numFmtId="0" fontId="14" fillId="0" borderId="50" xfId="11" applyFont="1" applyBorder="1" applyAlignment="1">
      <alignment horizontal="left" vertical="center"/>
    </xf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3" fillId="13" borderId="4" xfId="6" applyNumberFormat="1" applyFont="1" applyFill="1" applyBorder="1" applyAlignment="1">
      <alignment horizontal="center" vertical="center" wrapText="1"/>
    </xf>
    <xf numFmtId="4" fontId="3" fillId="13" borderId="3" xfId="6" applyNumberFormat="1" applyFont="1" applyFill="1" applyBorder="1" applyAlignment="1">
      <alignment horizontal="center" vertical="center" wrapText="1"/>
    </xf>
    <xf numFmtId="14" fontId="3" fillId="3" borderId="4" xfId="6" applyNumberFormat="1" applyFont="1" applyFill="1" applyBorder="1" applyAlignment="1">
      <alignment horizontal="left" vertical="center" wrapText="1"/>
    </xf>
    <xf numFmtId="14" fontId="3" fillId="3" borderId="2" xfId="6" applyNumberFormat="1" applyFont="1" applyFill="1" applyBorder="1" applyAlignment="1">
      <alignment horizontal="left" vertical="center" wrapText="1"/>
    </xf>
    <xf numFmtId="14" fontId="3" fillId="3" borderId="3" xfId="6" applyNumberFormat="1" applyFont="1" applyFill="1" applyBorder="1" applyAlignment="1">
      <alignment horizontal="left" vertical="center" wrapText="1"/>
    </xf>
    <xf numFmtId="0" fontId="2" fillId="0" borderId="74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27" fillId="4" borderId="29" xfId="6" applyFont="1" applyFill="1" applyBorder="1" applyAlignment="1">
      <alignment horizontal="center"/>
    </xf>
    <xf numFmtId="0" fontId="10" fillId="4" borderId="30" xfId="6" applyFont="1" applyFill="1" applyBorder="1" applyAlignment="1">
      <alignment horizontal="center"/>
    </xf>
    <xf numFmtId="0" fontId="10" fillId="4" borderId="31" xfId="6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26" fillId="3" borderId="5" xfId="6" applyFont="1" applyFill="1" applyBorder="1" applyAlignment="1">
      <alignment horizontal="left" vertical="center"/>
    </xf>
    <xf numFmtId="10" fontId="26" fillId="0" borderId="5" xfId="8" applyNumberFormat="1" applyFont="1" applyBorder="1" applyAlignment="1">
      <alignment horizontal="left" vertical="center" wrapText="1"/>
    </xf>
    <xf numFmtId="0" fontId="26" fillId="13" borderId="28" xfId="6" applyFont="1" applyFill="1" applyBorder="1" applyAlignment="1">
      <alignment horizontal="center" vertical="center" wrapText="1"/>
    </xf>
    <xf numFmtId="0" fontId="26" fillId="13" borderId="44" xfId="6" applyFont="1" applyFill="1" applyBorder="1" applyAlignment="1">
      <alignment horizontal="center" vertical="center" wrapText="1"/>
    </xf>
    <xf numFmtId="0" fontId="26" fillId="13" borderId="45" xfId="6" applyFont="1" applyFill="1" applyBorder="1" applyAlignment="1">
      <alignment horizontal="center" vertical="center" wrapText="1"/>
    </xf>
    <xf numFmtId="0" fontId="26" fillId="13" borderId="46" xfId="6" applyFont="1" applyFill="1" applyBorder="1" applyAlignment="1">
      <alignment horizontal="center" vertical="center" wrapText="1"/>
    </xf>
    <xf numFmtId="4" fontId="26" fillId="13" borderId="4" xfId="6" applyNumberFormat="1" applyFont="1" applyFill="1" applyBorder="1" applyAlignment="1">
      <alignment horizontal="center" vertical="center" wrapText="1"/>
    </xf>
    <xf numFmtId="4" fontId="26" fillId="13" borderId="3" xfId="6" applyNumberFormat="1" applyFont="1" applyFill="1" applyBorder="1" applyAlignment="1">
      <alignment horizontal="center" vertical="center" wrapText="1"/>
    </xf>
    <xf numFmtId="164" fontId="26" fillId="3" borderId="5" xfId="6" applyNumberFormat="1" applyFont="1" applyFill="1" applyBorder="1" applyAlignment="1">
      <alignment horizontal="left" vertical="center" wrapText="1"/>
    </xf>
    <xf numFmtId="0" fontId="26" fillId="0" borderId="4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44" fontId="26" fillId="3" borderId="4" xfId="6" applyNumberFormat="1" applyFont="1" applyFill="1" applyBorder="1" applyAlignment="1">
      <alignment horizontal="left" vertical="center"/>
    </xf>
    <xf numFmtId="44" fontId="26" fillId="3" borderId="2" xfId="6" applyNumberFormat="1" applyFont="1" applyFill="1" applyBorder="1" applyAlignment="1">
      <alignment horizontal="left" vertical="center"/>
    </xf>
    <xf numFmtId="0" fontId="26" fillId="3" borderId="4" xfId="6" applyFont="1" applyFill="1" applyBorder="1" applyAlignment="1">
      <alignment horizontal="left" vertical="center"/>
    </xf>
    <xf numFmtId="0" fontId="26" fillId="3" borderId="2" xfId="6" applyFont="1" applyFill="1" applyBorder="1" applyAlignment="1">
      <alignment horizontal="left" vertical="center"/>
    </xf>
    <xf numFmtId="0" fontId="26" fillId="3" borderId="3" xfId="6" applyFont="1" applyFill="1" applyBorder="1" applyAlignment="1">
      <alignment horizontal="left" vertical="center"/>
    </xf>
    <xf numFmtId="0" fontId="26" fillId="13" borderId="4" xfId="6" applyFont="1" applyFill="1" applyBorder="1" applyAlignment="1">
      <alignment horizontal="center" vertical="center"/>
    </xf>
    <xf numFmtId="0" fontId="26" fillId="13" borderId="3" xfId="6" applyFont="1" applyFill="1" applyBorder="1" applyAlignment="1">
      <alignment horizontal="center" vertical="center"/>
    </xf>
    <xf numFmtId="0" fontId="26" fillId="3" borderId="5" xfId="6" applyFont="1" applyFill="1" applyBorder="1" applyAlignment="1">
      <alignment horizontal="left" vertical="center" wrapText="1"/>
    </xf>
    <xf numFmtId="0" fontId="26" fillId="0" borderId="25" xfId="0" applyFont="1" applyBorder="1" applyAlignment="1">
      <alignment horizontal="center" vertical="center" wrapText="1"/>
    </xf>
    <xf numFmtId="167" fontId="26" fillId="3" borderId="23" xfId="6" applyNumberFormat="1" applyFont="1" applyFill="1" applyBorder="1" applyAlignment="1">
      <alignment horizontal="left" vertical="center" wrapText="1"/>
    </xf>
    <xf numFmtId="167" fontId="26" fillId="3" borderId="25" xfId="6" applyNumberFormat="1" applyFont="1" applyFill="1" applyBorder="1" applyAlignment="1">
      <alignment horizontal="left" vertical="center" wrapText="1"/>
    </xf>
    <xf numFmtId="0" fontId="26" fillId="3" borderId="4" xfId="6" applyFont="1" applyFill="1" applyBorder="1" applyAlignment="1">
      <alignment horizontal="left" vertical="center" wrapText="1"/>
    </xf>
    <xf numFmtId="0" fontId="26" fillId="3" borderId="2" xfId="6" applyFont="1" applyFill="1" applyBorder="1" applyAlignment="1">
      <alignment horizontal="left" vertical="center" wrapText="1"/>
    </xf>
    <xf numFmtId="0" fontId="26" fillId="3" borderId="3" xfId="6" applyFont="1" applyFill="1" applyBorder="1" applyAlignment="1">
      <alignment horizontal="left" vertical="center" wrapText="1"/>
    </xf>
    <xf numFmtId="14" fontId="26" fillId="3" borderId="4" xfId="6" applyNumberFormat="1" applyFont="1" applyFill="1" applyBorder="1" applyAlignment="1">
      <alignment horizontal="left" vertical="center" wrapText="1"/>
    </xf>
    <xf numFmtId="14" fontId="26" fillId="3" borderId="2" xfId="6" applyNumberFormat="1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 wrapText="1"/>
    </xf>
    <xf numFmtId="0" fontId="11" fillId="13" borderId="2" xfId="0" applyFont="1" applyFill="1" applyBorder="1" applyAlignment="1">
      <alignment horizontal="center" vertical="center" wrapText="1"/>
    </xf>
    <xf numFmtId="0" fontId="11" fillId="13" borderId="3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49" fontId="11" fillId="8" borderId="2" xfId="0" applyNumberFormat="1" applyFont="1" applyFill="1" applyBorder="1" applyAlignment="1">
      <alignment horizontal="left" vertical="center" wrapText="1"/>
    </xf>
    <xf numFmtId="0" fontId="13" fillId="3" borderId="4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1" fillId="0" borderId="77" xfId="0" applyFont="1" applyBorder="1" applyAlignment="1">
      <alignment horizontal="right" wrapText="1"/>
    </xf>
    <xf numFmtId="0" fontId="11" fillId="13" borderId="52" xfId="0" applyFont="1" applyFill="1" applyBorder="1" applyAlignment="1">
      <alignment horizontal="right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62" xfId="0" applyFont="1" applyFill="1" applyBorder="1" applyAlignment="1">
      <alignment horizontal="center" vertical="center" wrapText="1"/>
    </xf>
    <xf numFmtId="0" fontId="26" fillId="6" borderId="32" xfId="0" applyFont="1" applyFill="1" applyBorder="1" applyAlignment="1">
      <alignment horizontal="center" vertical="center" wrapText="1"/>
    </xf>
    <xf numFmtId="0" fontId="26" fillId="6" borderId="2" xfId="0" applyFont="1" applyFill="1" applyBorder="1" applyAlignment="1">
      <alignment horizontal="center" vertical="center" wrapText="1"/>
    </xf>
    <xf numFmtId="0" fontId="26" fillId="6" borderId="3" xfId="0" applyFont="1" applyFill="1" applyBorder="1" applyAlignment="1">
      <alignment horizontal="center" vertical="center" wrapText="1"/>
    </xf>
    <xf numFmtId="0" fontId="26" fillId="3" borderId="51" xfId="0" applyFont="1" applyFill="1" applyBorder="1" applyAlignment="1">
      <alignment horizontal="center" vertical="center"/>
    </xf>
    <xf numFmtId="0" fontId="26" fillId="3" borderId="52" xfId="0" applyFont="1" applyFill="1" applyBorder="1" applyAlignment="1">
      <alignment horizontal="center" vertical="center"/>
    </xf>
    <xf numFmtId="0" fontId="26" fillId="3" borderId="53" xfId="0" applyFont="1" applyFill="1" applyBorder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6" fillId="6" borderId="32" xfId="0" applyFont="1" applyFill="1" applyBorder="1" applyAlignment="1">
      <alignment horizontal="left" vertical="center" wrapText="1"/>
    </xf>
    <xf numFmtId="0" fontId="26" fillId="6" borderId="2" xfId="0" applyFont="1" applyFill="1" applyBorder="1" applyAlignment="1">
      <alignment horizontal="left" vertical="center" wrapText="1"/>
    </xf>
    <xf numFmtId="0" fontId="26" fillId="6" borderId="3" xfId="0" applyFont="1" applyFill="1" applyBorder="1" applyAlignment="1">
      <alignment horizontal="left" vertical="center" wrapText="1"/>
    </xf>
    <xf numFmtId="14" fontId="11" fillId="3" borderId="4" xfId="6" applyNumberFormat="1" applyFont="1" applyFill="1" applyBorder="1" applyAlignment="1">
      <alignment horizontal="left" vertical="center" wrapText="1"/>
    </xf>
    <xf numFmtId="14" fontId="11" fillId="3" borderId="2" xfId="6" applyNumberFormat="1" applyFont="1" applyFill="1" applyBorder="1" applyAlignment="1">
      <alignment horizontal="left" vertical="center" wrapText="1"/>
    </xf>
    <xf numFmtId="4" fontId="11" fillId="13" borderId="4" xfId="6" applyNumberFormat="1" applyFont="1" applyFill="1" applyBorder="1" applyAlignment="1">
      <alignment horizontal="center" vertical="center" wrapText="1"/>
    </xf>
    <xf numFmtId="4" fontId="11" fillId="13" borderId="3" xfId="6" applyNumberFormat="1" applyFont="1" applyFill="1" applyBorder="1" applyAlignment="1">
      <alignment horizontal="center" vertical="center" wrapText="1"/>
    </xf>
    <xf numFmtId="0" fontId="26" fillId="13" borderId="4" xfId="0" applyFont="1" applyFill="1" applyBorder="1" applyAlignment="1">
      <alignment horizontal="center" vertical="center" wrapText="1"/>
    </xf>
    <xf numFmtId="0" fontId="26" fillId="13" borderId="2" xfId="0" applyFont="1" applyFill="1" applyBorder="1" applyAlignment="1">
      <alignment horizontal="center" vertical="center" wrapText="1"/>
    </xf>
    <xf numFmtId="0" fontId="26" fillId="3" borderId="19" xfId="0" applyFont="1" applyFill="1" applyBorder="1" applyAlignment="1">
      <alignment horizontal="center" vertical="center"/>
    </xf>
    <xf numFmtId="0" fontId="26" fillId="3" borderId="20" xfId="0" applyFont="1" applyFill="1" applyBorder="1" applyAlignment="1">
      <alignment horizontal="center" vertical="center"/>
    </xf>
    <xf numFmtId="0" fontId="11" fillId="3" borderId="4" xfId="6" applyFont="1" applyFill="1" applyBorder="1" applyAlignment="1">
      <alignment horizontal="left" vertical="center" wrapText="1"/>
    </xf>
    <xf numFmtId="0" fontId="11" fillId="3" borderId="2" xfId="6" applyFont="1" applyFill="1" applyBorder="1" applyAlignment="1">
      <alignment horizontal="left" vertical="center" wrapText="1"/>
    </xf>
    <xf numFmtId="0" fontId="26" fillId="6" borderId="49" xfId="0" applyFont="1" applyFill="1" applyBorder="1" applyAlignment="1">
      <alignment horizontal="center" vertical="center" wrapText="1"/>
    </xf>
    <xf numFmtId="167" fontId="11" fillId="3" borderId="23" xfId="6" applyNumberFormat="1" applyFont="1" applyFill="1" applyBorder="1" applyAlignment="1">
      <alignment horizontal="left" vertical="center" wrapText="1"/>
    </xf>
    <xf numFmtId="167" fontId="11" fillId="3" borderId="25" xfId="6" applyNumberFormat="1" applyFont="1" applyFill="1" applyBorder="1" applyAlignment="1">
      <alignment horizontal="left" vertical="center" wrapText="1"/>
    </xf>
    <xf numFmtId="167" fontId="11" fillId="3" borderId="45" xfId="6" applyNumberFormat="1" applyFont="1" applyFill="1" applyBorder="1" applyAlignment="1">
      <alignment horizontal="left" vertical="center" wrapText="1"/>
    </xf>
    <xf numFmtId="167" fontId="11" fillId="3" borderId="26" xfId="6" applyNumberFormat="1" applyFont="1" applyFill="1" applyBorder="1" applyAlignment="1">
      <alignment horizontal="left" vertical="center" wrapText="1"/>
    </xf>
    <xf numFmtId="0" fontId="11" fillId="13" borderId="23" xfId="6" applyFont="1" applyFill="1" applyBorder="1" applyAlignment="1">
      <alignment horizontal="center" vertical="center" wrapText="1"/>
    </xf>
    <xf numFmtId="0" fontId="11" fillId="13" borderId="43" xfId="6" applyFont="1" applyFill="1" applyBorder="1" applyAlignment="1">
      <alignment horizontal="center" vertical="center" wrapText="1"/>
    </xf>
    <xf numFmtId="0" fontId="11" fillId="13" borderId="45" xfId="6" applyFont="1" applyFill="1" applyBorder="1" applyAlignment="1">
      <alignment horizontal="center" vertical="center" wrapText="1"/>
    </xf>
    <xf numFmtId="0" fontId="11" fillId="13" borderId="46" xfId="6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1" fillId="3" borderId="3" xfId="6" applyFont="1" applyFill="1" applyBorder="1" applyAlignment="1">
      <alignment horizontal="left" vertical="center" wrapText="1"/>
    </xf>
    <xf numFmtId="10" fontId="11" fillId="0" borderId="4" xfId="8" applyNumberFormat="1" applyFont="1" applyBorder="1" applyAlignment="1">
      <alignment horizontal="left" vertical="center" wrapText="1"/>
    </xf>
    <xf numFmtId="10" fontId="11" fillId="0" borderId="3" xfId="8" applyNumberFormat="1" applyFont="1" applyBorder="1" applyAlignment="1">
      <alignment horizontal="left" vertical="center" wrapText="1"/>
    </xf>
    <xf numFmtId="164" fontId="11" fillId="3" borderId="4" xfId="6" applyNumberFormat="1" applyFont="1" applyFill="1" applyBorder="1" applyAlignment="1">
      <alignment horizontal="left" vertical="center" wrapText="1"/>
    </xf>
    <xf numFmtId="164" fontId="11" fillId="3" borderId="3" xfId="6" applyNumberFormat="1" applyFont="1" applyFill="1" applyBorder="1" applyAlignment="1">
      <alignment horizontal="left" vertical="center" wrapText="1"/>
    </xf>
    <xf numFmtId="44" fontId="11" fillId="3" borderId="4" xfId="6" applyNumberFormat="1" applyFont="1" applyFill="1" applyBorder="1" applyAlignment="1">
      <alignment horizontal="left" vertical="center"/>
    </xf>
    <xf numFmtId="44" fontId="11" fillId="3" borderId="2" xfId="6" applyNumberFormat="1" applyFont="1" applyFill="1" applyBorder="1" applyAlignment="1">
      <alignment horizontal="left" vertical="center"/>
    </xf>
    <xf numFmtId="0" fontId="11" fillId="13" borderId="4" xfId="6" applyFont="1" applyFill="1" applyBorder="1" applyAlignment="1">
      <alignment horizontal="center" vertical="center"/>
    </xf>
    <xf numFmtId="0" fontId="11" fillId="13" borderId="3" xfId="6" applyFont="1" applyFill="1" applyBorder="1" applyAlignment="1">
      <alignment horizontal="center" vertical="center"/>
    </xf>
    <xf numFmtId="40" fontId="11" fillId="3" borderId="0" xfId="6" applyNumberFormat="1" applyFont="1" applyFill="1" applyAlignment="1">
      <alignment horizontal="left" vertical="center" wrapText="1"/>
    </xf>
    <xf numFmtId="0" fontId="11" fillId="3" borderId="45" xfId="6" applyFont="1" applyFill="1" applyBorder="1" applyAlignment="1">
      <alignment horizontal="left" vertical="center"/>
    </xf>
    <xf numFmtId="0" fontId="11" fillId="3" borderId="26" xfId="6" applyFont="1" applyFill="1" applyBorder="1" applyAlignment="1">
      <alignment horizontal="left" vertical="center"/>
    </xf>
    <xf numFmtId="0" fontId="11" fillId="3" borderId="84" xfId="6" applyFont="1" applyFill="1" applyBorder="1" applyAlignment="1">
      <alignment horizontal="left" vertical="center"/>
    </xf>
    <xf numFmtId="0" fontId="11" fillId="3" borderId="33" xfId="6" applyFont="1" applyFill="1" applyBorder="1" applyAlignment="1">
      <alignment horizontal="left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1" fillId="6" borderId="10" xfId="0" applyFont="1" applyFill="1" applyBorder="1" applyAlignment="1">
      <alignment horizontal="center" vertical="center" wrapText="1"/>
    </xf>
    <xf numFmtId="0" fontId="11" fillId="6" borderId="54" xfId="0" applyFont="1" applyFill="1" applyBorder="1" applyAlignment="1">
      <alignment horizontal="center" vertical="center" wrapText="1"/>
    </xf>
    <xf numFmtId="0" fontId="11" fillId="3" borderId="23" xfId="6" applyFont="1" applyFill="1" applyBorder="1" applyAlignment="1">
      <alignment horizontal="center" vertical="center" wrapText="1"/>
    </xf>
    <xf numFmtId="0" fontId="11" fillId="3" borderId="25" xfId="6" applyFont="1" applyFill="1" applyBorder="1" applyAlignment="1">
      <alignment horizontal="center" vertical="center" wrapText="1"/>
    </xf>
    <xf numFmtId="0" fontId="4" fillId="15" borderId="9" xfId="6" applyFont="1" applyFill="1" applyBorder="1" applyAlignment="1">
      <alignment horizontal="center" vertical="center" wrapText="1"/>
    </xf>
    <xf numFmtId="0" fontId="4" fillId="15" borderId="10" xfId="6" applyFont="1" applyFill="1" applyBorder="1" applyAlignment="1">
      <alignment horizontal="center" vertical="center" wrapText="1"/>
    </xf>
    <xf numFmtId="0" fontId="4" fillId="15" borderId="54" xfId="6" applyFont="1" applyFill="1" applyBorder="1" applyAlignment="1">
      <alignment horizontal="center" vertical="center" wrapText="1"/>
    </xf>
    <xf numFmtId="0" fontId="11" fillId="3" borderId="45" xfId="6" applyFont="1" applyFill="1" applyBorder="1" applyAlignment="1">
      <alignment horizontal="left" vertical="center" wrapText="1"/>
    </xf>
    <xf numFmtId="0" fontId="11" fillId="3" borderId="26" xfId="6" applyFont="1" applyFill="1" applyBorder="1" applyAlignment="1">
      <alignment horizontal="left" vertical="center" wrapText="1"/>
    </xf>
    <xf numFmtId="0" fontId="11" fillId="3" borderId="46" xfId="6" applyFont="1" applyFill="1" applyBorder="1" applyAlignment="1">
      <alignment horizontal="left" vertical="center" wrapText="1"/>
    </xf>
    <xf numFmtId="164" fontId="11" fillId="3" borderId="2" xfId="6" applyNumberFormat="1" applyFont="1" applyFill="1" applyBorder="1" applyAlignment="1">
      <alignment horizontal="left" vertical="center" wrapText="1"/>
    </xf>
    <xf numFmtId="167" fontId="11" fillId="3" borderId="28" xfId="6" applyNumberFormat="1" applyFont="1" applyFill="1" applyBorder="1" applyAlignment="1">
      <alignment horizontal="left" vertical="center" wrapText="1"/>
    </xf>
    <xf numFmtId="167" fontId="11" fillId="3" borderId="0" xfId="6" applyNumberFormat="1" applyFont="1" applyFill="1" applyAlignment="1">
      <alignment horizontal="left" vertical="center" wrapText="1"/>
    </xf>
    <xf numFmtId="167" fontId="11" fillId="3" borderId="11" xfId="6" applyNumberFormat="1" applyFont="1" applyFill="1" applyBorder="1" applyAlignment="1">
      <alignment horizontal="left" vertical="center" wrapText="1"/>
    </xf>
    <xf numFmtId="0" fontId="11" fillId="13" borderId="28" xfId="6" applyFont="1" applyFill="1" applyBorder="1" applyAlignment="1">
      <alignment horizontal="center" vertical="center" wrapText="1"/>
    </xf>
    <xf numFmtId="0" fontId="11" fillId="13" borderId="44" xfId="6" applyFont="1" applyFill="1" applyBorder="1" applyAlignment="1">
      <alignment horizontal="center" vertical="center" wrapText="1"/>
    </xf>
    <xf numFmtId="40" fontId="11" fillId="3" borderId="0" xfId="6" applyNumberFormat="1" applyFont="1" applyFill="1" applyAlignment="1">
      <alignment horizontal="left" wrapText="1"/>
    </xf>
    <xf numFmtId="10" fontId="11" fillId="0" borderId="23" xfId="8" applyNumberFormat="1" applyFont="1" applyBorder="1" applyAlignment="1">
      <alignment horizontal="left" vertical="center" wrapText="1"/>
    </xf>
    <xf numFmtId="10" fontId="11" fillId="0" borderId="25" xfId="8" applyNumberFormat="1" applyFont="1" applyBorder="1" applyAlignment="1">
      <alignment horizontal="left" vertical="center" wrapText="1"/>
    </xf>
    <xf numFmtId="10" fontId="11" fillId="0" borderId="43" xfId="8" applyNumberFormat="1" applyFont="1" applyBorder="1" applyAlignment="1">
      <alignment horizontal="left" vertical="center" wrapText="1"/>
    </xf>
    <xf numFmtId="0" fontId="13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40" fontId="13" fillId="3" borderId="5" xfId="6" applyNumberFormat="1" applyFont="1" applyFill="1" applyBorder="1" applyAlignment="1">
      <alignment horizontal="center"/>
    </xf>
    <xf numFmtId="40" fontId="13" fillId="3" borderId="5" xfId="6" applyNumberFormat="1" applyFont="1" applyFill="1" applyBorder="1" applyAlignment="1">
      <alignment horizontal="center" vertical="center" wrapText="1"/>
    </xf>
    <xf numFmtId="40" fontId="13" fillId="3" borderId="5" xfId="6" applyNumberFormat="1" applyFont="1" applyFill="1" applyBorder="1" applyAlignment="1">
      <alignment horizontal="center" vertical="center"/>
    </xf>
    <xf numFmtId="40" fontId="3" fillId="5" borderId="5" xfId="0" applyNumberFormat="1" applyFont="1" applyFill="1" applyBorder="1" applyAlignment="1">
      <alignment horizontal="center" vertical="center" wrapText="1"/>
    </xf>
    <xf numFmtId="40" fontId="2" fillId="5" borderId="5" xfId="0" applyNumberFormat="1" applyFont="1" applyFill="1" applyBorder="1" applyAlignment="1">
      <alignment horizontal="center" vertical="center" wrapText="1"/>
    </xf>
    <xf numFmtId="40" fontId="13" fillId="3" borderId="0" xfId="6" applyNumberFormat="1" applyFont="1" applyFill="1" applyAlignment="1">
      <alignment horizontal="center"/>
    </xf>
    <xf numFmtId="40" fontId="13" fillId="3" borderId="0" xfId="6" applyNumberFormat="1" applyFont="1" applyFill="1" applyAlignment="1">
      <alignment horizontal="left" wrapText="1"/>
    </xf>
    <xf numFmtId="40" fontId="13" fillId="3" borderId="0" xfId="6" applyNumberFormat="1" applyFont="1" applyFill="1" applyAlignment="1">
      <alignment horizontal="left" vertical="center"/>
    </xf>
    <xf numFmtId="40" fontId="13" fillId="3" borderId="0" xfId="6" applyNumberFormat="1" applyFont="1" applyFill="1" applyAlignment="1">
      <alignment horizontal="left"/>
    </xf>
    <xf numFmtId="40" fontId="13" fillId="3" borderId="0" xfId="6" applyNumberFormat="1" applyFont="1" applyFill="1" applyAlignment="1">
      <alignment horizontal="center" wrapText="1"/>
    </xf>
    <xf numFmtId="0" fontId="5" fillId="3" borderId="0" xfId="0" applyFont="1" applyFill="1" applyAlignment="1">
      <alignment horizontal="center"/>
    </xf>
    <xf numFmtId="40" fontId="13" fillId="3" borderId="0" xfId="6" applyNumberFormat="1" applyFont="1" applyFill="1" applyAlignment="1">
      <alignment horizontal="right"/>
    </xf>
    <xf numFmtId="40" fontId="11" fillId="6" borderId="9" xfId="0" applyNumberFormat="1" applyFont="1" applyFill="1" applyBorder="1" applyAlignment="1">
      <alignment horizontal="center" vertical="center" wrapText="1"/>
    </xf>
    <xf numFmtId="0" fontId="11" fillId="3" borderId="85" xfId="6" applyFont="1" applyFill="1" applyBorder="1" applyAlignment="1">
      <alignment horizontal="center" vertical="center" wrapText="1"/>
    </xf>
    <xf numFmtId="0" fontId="11" fillId="3" borderId="52" xfId="6" applyFont="1" applyFill="1" applyBorder="1" applyAlignment="1">
      <alignment horizontal="center" vertical="center" wrapText="1"/>
    </xf>
    <xf numFmtId="44" fontId="11" fillId="3" borderId="0" xfId="6" applyNumberFormat="1" applyFont="1" applyFill="1" applyAlignment="1">
      <alignment horizontal="left" vertical="center"/>
    </xf>
    <xf numFmtId="40" fontId="2" fillId="5" borderId="5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0" fontId="2" fillId="0" borderId="4" xfId="0" applyNumberFormat="1" applyFont="1" applyBorder="1" applyAlignment="1">
      <alignment horizontal="center" vertical="center" wrapText="1"/>
    </xf>
    <xf numFmtId="40" fontId="2" fillId="0" borderId="2" xfId="0" applyNumberFormat="1" applyFont="1" applyBorder="1" applyAlignment="1">
      <alignment horizontal="center" vertical="center" wrapText="1"/>
    </xf>
    <xf numFmtId="10" fontId="11" fillId="0" borderId="13" xfId="8" applyNumberFormat="1" applyFont="1" applyBorder="1" applyAlignment="1">
      <alignment horizontal="left" vertical="center" wrapText="1"/>
    </xf>
    <xf numFmtId="0" fontId="11" fillId="3" borderId="23" xfId="6" applyFont="1" applyFill="1" applyBorder="1" applyAlignment="1">
      <alignment horizontal="left" vertical="center" wrapText="1"/>
    </xf>
    <xf numFmtId="0" fontId="11" fillId="3" borderId="25" xfId="6" applyFont="1" applyFill="1" applyBorder="1" applyAlignment="1">
      <alignment horizontal="left" vertical="center" wrapText="1"/>
    </xf>
    <xf numFmtId="0" fontId="11" fillId="3" borderId="27" xfId="6" applyFont="1" applyFill="1" applyBorder="1" applyAlignment="1">
      <alignment horizontal="left" vertical="center" wrapText="1"/>
    </xf>
    <xf numFmtId="40" fontId="2" fillId="3" borderId="0" xfId="6" applyNumberFormat="1" applyFill="1" applyAlignment="1">
      <alignment horizontal="center"/>
    </xf>
    <xf numFmtId="0" fontId="4" fillId="12" borderId="1" xfId="6" applyFont="1" applyFill="1" applyBorder="1" applyAlignment="1">
      <alignment horizontal="center" vertical="center" wrapText="1"/>
    </xf>
    <xf numFmtId="0" fontId="4" fillId="12" borderId="0" xfId="6" applyFont="1" applyFill="1" applyAlignment="1">
      <alignment horizontal="center" vertical="center" wrapText="1"/>
    </xf>
    <xf numFmtId="0" fontId="4" fillId="12" borderId="11" xfId="6" applyFont="1" applyFill="1" applyBorder="1" applyAlignment="1">
      <alignment horizontal="center" vertical="center" wrapText="1"/>
    </xf>
    <xf numFmtId="0" fontId="11" fillId="3" borderId="0" xfId="6" applyFont="1" applyFill="1" applyAlignment="1">
      <alignment horizontal="center" vertical="center" wrapText="1"/>
    </xf>
    <xf numFmtId="40" fontId="3" fillId="3" borderId="0" xfId="10" applyNumberFormat="1" applyFont="1" applyFill="1" applyAlignment="1">
      <alignment horizontal="left" vertical="center" wrapText="1"/>
    </xf>
    <xf numFmtId="40" fontId="2" fillId="3" borderId="0" xfId="10" applyNumberFormat="1" applyFill="1" applyAlignment="1">
      <alignment horizontal="center"/>
    </xf>
    <xf numFmtId="40" fontId="2" fillId="3" borderId="0" xfId="10" applyNumberFormat="1" applyFill="1" applyAlignment="1">
      <alignment horizontal="left" wrapText="1"/>
    </xf>
    <xf numFmtId="4" fontId="3" fillId="3" borderId="0" xfId="0" applyNumberFormat="1" applyFont="1" applyFill="1" applyAlignment="1">
      <alignment horizontal="left" vertical="center" wrapText="1"/>
    </xf>
    <xf numFmtId="40" fontId="2" fillId="3" borderId="0" xfId="10" applyNumberFormat="1" applyFill="1" applyAlignment="1">
      <alignment horizontal="center" wrapText="1"/>
    </xf>
    <xf numFmtId="40" fontId="2" fillId="6" borderId="4" xfId="6" applyNumberFormat="1" applyFill="1" applyBorder="1" applyAlignment="1">
      <alignment horizontal="center"/>
    </xf>
    <xf numFmtId="40" fontId="2" fillId="6" borderId="2" xfId="6" applyNumberFormat="1" applyFill="1" applyBorder="1" applyAlignment="1">
      <alignment horizontal="center"/>
    </xf>
    <xf numFmtId="40" fontId="2" fillId="3" borderId="4" xfId="6" applyNumberFormat="1" applyFill="1" applyBorder="1" applyAlignment="1">
      <alignment horizontal="center" vertical="center" wrapText="1"/>
    </xf>
    <xf numFmtId="40" fontId="2" fillId="3" borderId="3" xfId="6" applyNumberFormat="1" applyFill="1" applyBorder="1" applyAlignment="1">
      <alignment horizontal="center" vertical="center" wrapText="1"/>
    </xf>
    <xf numFmtId="4" fontId="11" fillId="3" borderId="0" xfId="13" applyNumberFormat="1" applyFont="1" applyFill="1" applyAlignment="1">
      <alignment horizontal="left" wrapText="1"/>
    </xf>
    <xf numFmtId="0" fontId="11" fillId="3" borderId="0" xfId="13" applyNumberFormat="1" applyFont="1" applyFill="1" applyAlignment="1">
      <alignment horizontal="left" wrapText="1"/>
    </xf>
    <xf numFmtId="4" fontId="11" fillId="13" borderId="5" xfId="6" applyNumberFormat="1" applyFont="1" applyFill="1" applyBorder="1" applyAlignment="1">
      <alignment horizontal="center" vertical="center" wrapText="1"/>
    </xf>
    <xf numFmtId="0" fontId="11" fillId="3" borderId="0" xfId="13" applyNumberFormat="1" applyFont="1" applyFill="1" applyAlignment="1">
      <alignment horizontal="left" vertical="center" wrapText="1"/>
    </xf>
    <xf numFmtId="171" fontId="11" fillId="3" borderId="0" xfId="13" applyFont="1" applyFill="1" applyAlignment="1">
      <alignment horizontal="left" vertical="center" wrapText="1"/>
    </xf>
    <xf numFmtId="0" fontId="11" fillId="13" borderId="0" xfId="6" applyFont="1" applyFill="1" applyAlignment="1">
      <alignment horizontal="center" vertical="center" wrapText="1"/>
    </xf>
    <xf numFmtId="44" fontId="11" fillId="3" borderId="5" xfId="6" applyNumberFormat="1" applyFont="1" applyFill="1" applyBorder="1" applyAlignment="1">
      <alignment horizontal="center" vertical="center"/>
    </xf>
    <xf numFmtId="0" fontId="11" fillId="13" borderId="5" xfId="6" applyFont="1" applyFill="1" applyBorder="1" applyAlignment="1">
      <alignment horizontal="center" vertical="center"/>
    </xf>
    <xf numFmtId="171" fontId="11" fillId="3" borderId="0" xfId="13" applyFont="1" applyFill="1" applyAlignment="1">
      <alignment horizontal="left" vertical="center"/>
    </xf>
    <xf numFmtId="2" fontId="11" fillId="3" borderId="0" xfId="13" applyNumberFormat="1" applyFont="1" applyFill="1" applyAlignment="1">
      <alignment horizontal="center" vertical="center"/>
    </xf>
    <xf numFmtId="2" fontId="13" fillId="3" borderId="0" xfId="13" applyNumberFormat="1" applyFont="1" applyFill="1" applyAlignment="1">
      <alignment horizontal="left" vertical="center"/>
    </xf>
    <xf numFmtId="0" fontId="11" fillId="0" borderId="0" xfId="13" applyNumberFormat="1" applyFont="1" applyAlignment="1">
      <alignment horizontal="left" vertical="center" wrapText="1"/>
    </xf>
    <xf numFmtId="4" fontId="11" fillId="3" borderId="0" xfId="13" applyNumberFormat="1" applyFont="1" applyFill="1" applyAlignment="1">
      <alignment horizontal="left" vertical="center" wrapText="1"/>
    </xf>
    <xf numFmtId="171" fontId="13" fillId="3" borderId="5" xfId="13" applyFont="1" applyFill="1" applyBorder="1" applyAlignment="1">
      <alignment horizontal="left" vertical="center"/>
    </xf>
    <xf numFmtId="2" fontId="13" fillId="3" borderId="5" xfId="13" applyNumberFormat="1" applyFont="1" applyFill="1" applyBorder="1" applyAlignment="1">
      <alignment horizontal="left" vertical="center"/>
    </xf>
    <xf numFmtId="49" fontId="11" fillId="3" borderId="0" xfId="13" applyNumberFormat="1" applyFont="1" applyFill="1" applyAlignment="1">
      <alignment horizontal="left" vertical="center" wrapText="1"/>
    </xf>
    <xf numFmtId="171" fontId="13" fillId="3" borderId="0" xfId="13" applyFont="1" applyFill="1" applyAlignment="1">
      <alignment horizontal="left" vertical="center" wrapText="1"/>
    </xf>
    <xf numFmtId="0" fontId="11" fillId="13" borderId="23" xfId="6" applyFont="1" applyFill="1" applyBorder="1" applyAlignment="1">
      <alignment horizontal="center" vertical="center"/>
    </xf>
    <xf numFmtId="0" fontId="11" fillId="13" borderId="25" xfId="6" applyFont="1" applyFill="1" applyBorder="1" applyAlignment="1">
      <alignment horizontal="center" vertical="center"/>
    </xf>
    <xf numFmtId="167" fontId="11" fillId="3" borderId="28" xfId="6" applyNumberFormat="1" applyFont="1" applyFill="1" applyBorder="1" applyAlignment="1">
      <alignment vertical="center" wrapText="1"/>
    </xf>
    <xf numFmtId="167" fontId="11" fillId="3" borderId="0" xfId="6" applyNumberFormat="1" applyFont="1" applyFill="1" applyAlignment="1">
      <alignment vertical="center" wrapText="1"/>
    </xf>
    <xf numFmtId="167" fontId="11" fillId="3" borderId="11" xfId="6" applyNumberFormat="1" applyFont="1" applyFill="1" applyBorder="1" applyAlignment="1">
      <alignment vertical="center" wrapText="1"/>
    </xf>
    <xf numFmtId="167" fontId="11" fillId="3" borderId="27" xfId="6" applyNumberFormat="1" applyFont="1" applyFill="1" applyBorder="1" applyAlignment="1">
      <alignment horizontal="left" vertical="center" wrapText="1"/>
    </xf>
    <xf numFmtId="14" fontId="11" fillId="3" borderId="3" xfId="6" applyNumberFormat="1" applyFont="1" applyFill="1" applyBorder="1" applyAlignment="1">
      <alignment horizontal="left" vertical="center" wrapText="1"/>
    </xf>
    <xf numFmtId="40" fontId="11" fillId="6" borderId="10" xfId="0" applyNumberFormat="1" applyFont="1" applyFill="1" applyBorder="1" applyAlignment="1">
      <alignment horizontal="center" vertical="center" wrapText="1"/>
    </xf>
    <xf numFmtId="40" fontId="11" fillId="6" borderId="54" xfId="0" applyNumberFormat="1" applyFont="1" applyFill="1" applyBorder="1" applyAlignment="1">
      <alignment horizontal="center" vertical="center" wrapText="1"/>
    </xf>
    <xf numFmtId="44" fontId="11" fillId="3" borderId="5" xfId="6" applyNumberFormat="1" applyFont="1" applyFill="1" applyBorder="1" applyAlignment="1">
      <alignment horizontal="left" vertical="center"/>
    </xf>
    <xf numFmtId="10" fontId="11" fillId="0" borderId="2" xfId="8" applyNumberFormat="1" applyFont="1" applyBorder="1" applyAlignment="1">
      <alignment horizontal="left" vertical="center" wrapText="1"/>
    </xf>
    <xf numFmtId="171" fontId="11" fillId="3" borderId="0" xfId="13" applyFont="1" applyFill="1" applyAlignment="1">
      <alignment horizontal="left" wrapText="1"/>
    </xf>
    <xf numFmtId="171" fontId="11" fillId="3" borderId="0" xfId="13" applyFont="1" applyFill="1" applyAlignment="1">
      <alignment horizontal="center" vertical="center"/>
    </xf>
    <xf numFmtId="4" fontId="20" fillId="3" borderId="0" xfId="16" applyNumberFormat="1" applyFont="1" applyFill="1" applyAlignment="1">
      <alignment horizontal="left" vertical="center" wrapText="1"/>
    </xf>
    <xf numFmtId="0" fontId="20" fillId="3" borderId="0" xfId="16" applyNumberFormat="1" applyFont="1" applyFill="1" applyAlignment="1">
      <alignment horizontal="left" vertical="center" wrapText="1"/>
    </xf>
    <xf numFmtId="0" fontId="13" fillId="3" borderId="5" xfId="13" applyNumberFormat="1" applyFont="1" applyFill="1" applyBorder="1" applyAlignment="1">
      <alignment horizontal="center" vertical="center"/>
    </xf>
    <xf numFmtId="171" fontId="13" fillId="3" borderId="4" xfId="13" applyFont="1" applyFill="1" applyBorder="1" applyAlignment="1">
      <alignment horizontal="left"/>
    </xf>
    <xf numFmtId="171" fontId="13" fillId="3" borderId="2" xfId="13" applyFont="1" applyFill="1" applyBorder="1" applyAlignment="1">
      <alignment horizontal="left"/>
    </xf>
    <xf numFmtId="171" fontId="13" fillId="3" borderId="3" xfId="13" applyFont="1" applyFill="1" applyBorder="1" applyAlignment="1">
      <alignment horizontal="left"/>
    </xf>
    <xf numFmtId="0" fontId="13" fillId="3" borderId="25" xfId="13" applyNumberFormat="1" applyFont="1" applyFill="1" applyBorder="1" applyAlignment="1">
      <alignment horizontal="center" vertical="center"/>
    </xf>
    <xf numFmtId="0" fontId="13" fillId="3" borderId="0" xfId="13" applyNumberFormat="1" applyFont="1" applyFill="1" applyAlignment="1">
      <alignment horizontal="center" vertical="center"/>
    </xf>
    <xf numFmtId="2" fontId="11" fillId="3" borderId="0" xfId="18" applyNumberFormat="1" applyFont="1" applyFill="1" applyAlignment="1">
      <alignment horizontal="left" vertical="center" wrapText="1"/>
    </xf>
    <xf numFmtId="171" fontId="20" fillId="3" borderId="0" xfId="16" applyFont="1" applyFill="1" applyAlignment="1">
      <alignment horizontal="left" vertical="center" wrapText="1"/>
    </xf>
    <xf numFmtId="171" fontId="13" fillId="3" borderId="5" xfId="13" applyFont="1" applyFill="1" applyBorder="1" applyAlignment="1">
      <alignment horizontal="left"/>
    </xf>
    <xf numFmtId="4" fontId="11" fillId="3" borderId="0" xfId="16" applyNumberFormat="1" applyFont="1" applyFill="1" applyAlignment="1">
      <alignment horizontal="left" vertical="center" wrapText="1"/>
    </xf>
    <xf numFmtId="0" fontId="11" fillId="3" borderId="0" xfId="16" applyNumberFormat="1" applyFont="1" applyFill="1" applyAlignment="1">
      <alignment horizontal="left" vertical="center" wrapText="1"/>
    </xf>
    <xf numFmtId="171" fontId="18" fillId="3" borderId="14" xfId="13" applyFont="1" applyFill="1" applyBorder="1" applyAlignment="1">
      <alignment horizontal="center" vertical="center" wrapText="1"/>
    </xf>
    <xf numFmtId="171" fontId="18" fillId="3" borderId="12" xfId="13" applyFont="1" applyFill="1" applyBorder="1" applyAlignment="1">
      <alignment horizontal="center" vertical="center" wrapText="1"/>
    </xf>
    <xf numFmtId="171" fontId="18" fillId="3" borderId="13" xfId="13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left"/>
    </xf>
    <xf numFmtId="49" fontId="4" fillId="3" borderId="0" xfId="0" applyNumberFormat="1" applyFont="1" applyFill="1" applyAlignment="1">
      <alignment horizontal="left" wrapText="1"/>
    </xf>
    <xf numFmtId="0" fontId="4" fillId="3" borderId="0" xfId="0" applyFont="1" applyFill="1" applyAlignment="1">
      <alignment horizontal="left" wrapText="1"/>
    </xf>
    <xf numFmtId="49" fontId="4" fillId="3" borderId="0" xfId="0" applyNumberFormat="1" applyFont="1" applyFill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49" fontId="5" fillId="3" borderId="26" xfId="0" applyNumberFormat="1" applyFont="1" applyFill="1" applyBorder="1" applyAlignment="1">
      <alignment horizontal="left" vertical="center" wrapText="1"/>
    </xf>
    <xf numFmtId="0" fontId="4" fillId="3" borderId="0" xfId="0" applyFont="1" applyFill="1" applyAlignment="1">
      <alignment horizontal="center" vertical="center"/>
    </xf>
    <xf numFmtId="49" fontId="11" fillId="6" borderId="9" xfId="0" applyNumberFormat="1" applyFont="1" applyFill="1" applyBorder="1" applyAlignment="1">
      <alignment horizontal="center" vertical="center" wrapText="1"/>
    </xf>
    <xf numFmtId="2" fontId="23" fillId="3" borderId="5" xfId="16" applyNumberFormat="1" applyFont="1" applyFill="1" applyBorder="1" applyAlignment="1">
      <alignment horizontal="center" vertical="center" wrapText="1"/>
    </xf>
    <xf numFmtId="2" fontId="20" fillId="3" borderId="0" xfId="16" applyNumberFormat="1" applyFont="1" applyFill="1" applyAlignment="1">
      <alignment horizontal="left" vertical="center" wrapText="1"/>
    </xf>
    <xf numFmtId="171" fontId="13" fillId="3" borderId="0" xfId="13" applyFont="1" applyFill="1" applyAlignment="1">
      <alignment horizontal="center"/>
    </xf>
    <xf numFmtId="2" fontId="13" fillId="3" borderId="25" xfId="13" applyNumberFormat="1" applyFont="1" applyFill="1" applyBorder="1" applyAlignment="1">
      <alignment horizontal="center"/>
    </xf>
    <xf numFmtId="171" fontId="22" fillId="3" borderId="0" xfId="13" applyFont="1" applyFill="1" applyAlignment="1">
      <alignment horizontal="center"/>
    </xf>
    <xf numFmtId="2" fontId="23" fillId="3" borderId="14" xfId="16" applyNumberFormat="1" applyFont="1" applyFill="1" applyBorder="1" applyAlignment="1">
      <alignment horizontal="center" vertical="center" wrapText="1"/>
    </xf>
    <xf numFmtId="2" fontId="23" fillId="3" borderId="12" xfId="16" applyNumberFormat="1" applyFont="1" applyFill="1" applyBorder="1" applyAlignment="1">
      <alignment horizontal="center" vertical="center" wrapText="1"/>
    </xf>
    <xf numFmtId="2" fontId="23" fillId="3" borderId="13" xfId="16" applyNumberFormat="1" applyFont="1" applyFill="1" applyBorder="1" applyAlignment="1">
      <alignment horizontal="center" vertical="center" wrapText="1"/>
    </xf>
    <xf numFmtId="2" fontId="13" fillId="3" borderId="0" xfId="13" applyNumberFormat="1" applyFont="1" applyFill="1" applyAlignment="1">
      <alignment horizontal="center"/>
    </xf>
    <xf numFmtId="0" fontId="13" fillId="3" borderId="0" xfId="13" applyNumberFormat="1" applyFont="1" applyFill="1" applyAlignment="1">
      <alignment horizontal="center"/>
    </xf>
    <xf numFmtId="171" fontId="11" fillId="3" borderId="0" xfId="13" applyFont="1" applyFill="1" applyAlignment="1">
      <alignment horizontal="left"/>
    </xf>
    <xf numFmtId="171" fontId="2" fillId="3" borderId="0" xfId="13" applyFill="1" applyAlignment="1">
      <alignment horizontal="center"/>
    </xf>
  </cellXfs>
  <cellStyles count="31">
    <cellStyle name="Comma" xfId="12" xr:uid="{00000000-0005-0000-0000-000000000000}"/>
    <cellStyle name="Moeda" xfId="2" builtinId="4"/>
    <cellStyle name="Moeda 2" xfId="18" xr:uid="{00000000-0005-0000-0000-000002000000}"/>
    <cellStyle name="Moeda 3" xfId="27" xr:uid="{00000000-0005-0000-0000-000003000000}"/>
    <cellStyle name="Moeda 6" xfId="20" xr:uid="{00000000-0005-0000-0000-000004000000}"/>
    <cellStyle name="Normal" xfId="0" builtinId="0"/>
    <cellStyle name="Normal 11 3 3" xfId="14" xr:uid="{00000000-0005-0000-0000-000006000000}"/>
    <cellStyle name="Normal 17" xfId="6" xr:uid="{00000000-0005-0000-0000-000007000000}"/>
    <cellStyle name="Normal 17 2" xfId="13" xr:uid="{00000000-0005-0000-0000-000008000000}"/>
    <cellStyle name="Normal 2" xfId="3" xr:uid="{00000000-0005-0000-0000-000009000000}"/>
    <cellStyle name="Normal 2 2" xfId="16" xr:uid="{00000000-0005-0000-0000-00000A000000}"/>
    <cellStyle name="Normal 2 2 2" xfId="21" xr:uid="{00000000-0005-0000-0000-00000B000000}"/>
    <cellStyle name="Normal 2 2 3" xfId="30" xr:uid="{00000000-0005-0000-0000-00000C000000}"/>
    <cellStyle name="Normal 2 2 4" xfId="24" xr:uid="{00000000-0005-0000-0000-00000D000000}"/>
    <cellStyle name="Normal 2 22" xfId="11" xr:uid="{00000000-0005-0000-0000-00000E000000}"/>
    <cellStyle name="Normal 2 3" xfId="23" xr:uid="{00000000-0005-0000-0000-00000F000000}"/>
    <cellStyle name="Normal 3" xfId="5" xr:uid="{00000000-0005-0000-0000-000010000000}"/>
    <cellStyle name="Normal 3 2" xfId="28" xr:uid="{00000000-0005-0000-0000-000011000000}"/>
    <cellStyle name="Normal 4" xfId="22" xr:uid="{00000000-0005-0000-0000-000012000000}"/>
    <cellStyle name="Normal 5" xfId="10" xr:uid="{00000000-0005-0000-0000-000013000000}"/>
    <cellStyle name="Normal 5 3" xfId="15" xr:uid="{00000000-0005-0000-0000-000014000000}"/>
    <cellStyle name="Normal 7" xfId="4" xr:uid="{00000000-0005-0000-0000-000015000000}"/>
    <cellStyle name="Normal 8" xfId="9" xr:uid="{00000000-0005-0000-0000-000016000000}"/>
    <cellStyle name="Normal_Pesquisa no referencial 10 de maio de 2013" xfId="19" xr:uid="{00000000-0005-0000-0000-000017000000}"/>
    <cellStyle name="Porcentagem" xfId="7" builtinId="5"/>
    <cellStyle name="Porcentagem 2" xfId="8" xr:uid="{00000000-0005-0000-0000-000019000000}"/>
    <cellStyle name="Porcentagem 3" xfId="29" xr:uid="{00000000-0005-0000-0000-00001A000000}"/>
    <cellStyle name="Vírgula" xfId="1" builtinId="3"/>
    <cellStyle name="Vírgula 2" xfId="17" xr:uid="{00000000-0005-0000-0000-00001C000000}"/>
    <cellStyle name="Vírgula 3" xfId="26" xr:uid="{00000000-0005-0000-0000-00001D000000}"/>
    <cellStyle name="Vírgula 4" xfId="25" xr:uid="{00000000-0005-0000-0000-00001E000000}"/>
  </cellStyles>
  <dxfs count="164"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</dxfs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.png"/><Relationship Id="rId2" Type="http://schemas.openxmlformats.org/officeDocument/2006/relationships/image" Target="../media/image9.png"/><Relationship Id="rId1" Type="http://schemas.openxmlformats.org/officeDocument/2006/relationships/image" Target="../media/image8.jpe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303408</xdr:colOff>
      <xdr:row>0</xdr:row>
      <xdr:rowOff>32106</xdr:rowOff>
    </xdr:from>
    <xdr:to>
      <xdr:col>1</xdr:col>
      <xdr:colOff>246151</xdr:colOff>
      <xdr:row>0</xdr:row>
      <xdr:rowOff>1070223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A33381-3DBC-4EF0-80A8-B728267C10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08" y="32106"/>
          <a:ext cx="1227013" cy="10381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" name="CaixaDeTexto 1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384520</xdr:colOff>
      <xdr:row>17</xdr:row>
      <xdr:rowOff>40968</xdr:rowOff>
    </xdr:from>
    <xdr:ext cx="65" cy="17222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384520" y="86964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" name="CaixaDeTexto 3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" name="CaixaDeTexto 4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" name="CaixaDeTexto 5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" name="CaixaDeTexto 6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" name="CaixaDeTexto 7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14</xdr:row>
      <xdr:rowOff>0</xdr:rowOff>
    </xdr:from>
    <xdr:ext cx="65" cy="172227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207645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91</xdr:row>
      <xdr:rowOff>0</xdr:rowOff>
    </xdr:from>
    <xdr:ext cx="65" cy="172227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384520" y="3356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91</xdr:row>
      <xdr:rowOff>0</xdr:rowOff>
    </xdr:from>
    <xdr:ext cx="65" cy="172227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384520" y="3356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33</xdr:row>
      <xdr:rowOff>0</xdr:rowOff>
    </xdr:from>
    <xdr:ext cx="65" cy="172227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84520" y="427006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91</xdr:row>
      <xdr:rowOff>0</xdr:rowOff>
    </xdr:from>
    <xdr:ext cx="65" cy="172227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384520" y="2853007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91</xdr:row>
      <xdr:rowOff>0</xdr:rowOff>
    </xdr:from>
    <xdr:ext cx="65" cy="172227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384520" y="2853007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0</xdr:col>
      <xdr:colOff>294409</xdr:colOff>
      <xdr:row>0</xdr:row>
      <xdr:rowOff>89189</xdr:rowOff>
    </xdr:from>
    <xdr:to>
      <xdr:col>1</xdr:col>
      <xdr:colOff>539462</xdr:colOff>
      <xdr:row>0</xdr:row>
      <xdr:rowOff>1123950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0E02C64-0A2E-4EB1-B36A-FAF1D38E8B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89"/>
          <a:ext cx="1045153" cy="10347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774701</xdr:colOff>
      <xdr:row>52</xdr:row>
      <xdr:rowOff>161925</xdr:rowOff>
    </xdr:from>
    <xdr:to>
      <xdr:col>9</xdr:col>
      <xdr:colOff>268324</xdr:colOff>
      <xdr:row>77</xdr:row>
      <xdr:rowOff>149225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01" y="9763125"/>
          <a:ext cx="7354923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952498</xdr:colOff>
      <xdr:row>153</xdr:row>
      <xdr:rowOff>166689</xdr:rowOff>
    </xdr:from>
    <xdr:to>
      <xdr:col>5</xdr:col>
      <xdr:colOff>583406</xdr:colOff>
      <xdr:row>164</xdr:row>
      <xdr:rowOff>166689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BA8B2FB-5C6F-4C8B-8691-56221C56E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6738" t="35085" r="3382" b="23952"/>
        <a:stretch/>
      </xdr:blipFill>
      <xdr:spPr>
        <a:xfrm>
          <a:off x="952498" y="31515845"/>
          <a:ext cx="4536283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294409</xdr:colOff>
      <xdr:row>0</xdr:row>
      <xdr:rowOff>89189</xdr:rowOff>
    </xdr:from>
    <xdr:to>
      <xdr:col>1</xdr:col>
      <xdr:colOff>416718</xdr:colOff>
      <xdr:row>0</xdr:row>
      <xdr:rowOff>1107281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A55FDC2-C858-47B0-9DE9-424D6295D12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89"/>
          <a:ext cx="1110528" cy="101809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294409</xdr:colOff>
      <xdr:row>0</xdr:row>
      <xdr:rowOff>89189</xdr:rowOff>
    </xdr:from>
    <xdr:to>
      <xdr:col>0</xdr:col>
      <xdr:colOff>1407318</xdr:colOff>
      <xdr:row>0</xdr:row>
      <xdr:rowOff>1240631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B9B586C-4035-4E0E-9704-1146C8349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89"/>
          <a:ext cx="1112909" cy="10180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65809</xdr:colOff>
      <xdr:row>0</xdr:row>
      <xdr:rowOff>79665</xdr:rowOff>
    </xdr:from>
    <xdr:to>
      <xdr:col>1</xdr:col>
      <xdr:colOff>501362</xdr:colOff>
      <xdr:row>0</xdr:row>
      <xdr:rowOff>1066801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20AED7-86D3-4AEE-9738-6A32A1B0EA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" y="79665"/>
          <a:ext cx="1045153" cy="98713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667880</xdr:colOff>
      <xdr:row>395</xdr:row>
      <xdr:rowOff>47408</xdr:rowOff>
    </xdr:from>
    <xdr:to>
      <xdr:col>9</xdr:col>
      <xdr:colOff>474636</xdr:colOff>
      <xdr:row>399</xdr:row>
      <xdr:rowOff>101224</xdr:rowOff>
    </xdr:to>
    <xdr:pic>
      <xdr:nvPicPr>
        <xdr:cNvPr id="2" name="Imagem 1" descr="Resultado de imagem para Ã¡rea lateral de um cilindr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13" t="46902" r="26647" b="31063"/>
        <a:stretch/>
      </xdr:blipFill>
      <xdr:spPr bwMode="auto">
        <a:xfrm>
          <a:off x="6630530" y="62559983"/>
          <a:ext cx="1521256" cy="701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753927</xdr:colOff>
      <xdr:row>389</xdr:row>
      <xdr:rowOff>95250</xdr:rowOff>
    </xdr:from>
    <xdr:to>
      <xdr:col>11</xdr:col>
      <xdr:colOff>152400</xdr:colOff>
      <xdr:row>396</xdr:row>
      <xdr:rowOff>13185</xdr:rowOff>
    </xdr:to>
    <xdr:pic>
      <xdr:nvPicPr>
        <xdr:cNvPr id="3" name="Imagem 2" descr="Resultado de imagem para Ã¡rea lateral de um cilindr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6" t="34926" r="67108" b="16933"/>
        <a:stretch/>
      </xdr:blipFill>
      <xdr:spPr bwMode="auto">
        <a:xfrm>
          <a:off x="8431077" y="62245875"/>
          <a:ext cx="884373" cy="1102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636433</xdr:colOff>
      <xdr:row>396</xdr:row>
      <xdr:rowOff>0</xdr:rowOff>
    </xdr:from>
    <xdr:to>
      <xdr:col>7</xdr:col>
      <xdr:colOff>364751</xdr:colOff>
      <xdr:row>399</xdr:row>
      <xdr:rowOff>9526</xdr:rowOff>
    </xdr:to>
    <xdr:pic>
      <xdr:nvPicPr>
        <xdr:cNvPr id="4" name="Imagem 3" descr="Resultado de imagem para Ã¡rea lateral de um cilindr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54" t="25969" r="21901" b="58764"/>
        <a:stretch/>
      </xdr:blipFill>
      <xdr:spPr bwMode="auto">
        <a:xfrm>
          <a:off x="5075083" y="62674500"/>
          <a:ext cx="1252318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69</xdr:row>
      <xdr:rowOff>95250</xdr:rowOff>
    </xdr:from>
    <xdr:to>
      <xdr:col>3</xdr:col>
      <xdr:colOff>333375</xdr:colOff>
      <xdr:row>71</xdr:row>
      <xdr:rowOff>160336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9326" y="10868025"/>
          <a:ext cx="1000124" cy="388937"/>
        </a:xfrm>
        <a:prstGeom prst="rect">
          <a:avLst/>
        </a:prstGeom>
      </xdr:spPr>
    </xdr:pic>
    <xdr:clientData/>
  </xdr:twoCellAnchor>
  <xdr:oneCellAnchor>
    <xdr:from>
      <xdr:col>2</xdr:col>
      <xdr:colOff>409576</xdr:colOff>
      <xdr:row>142</xdr:row>
      <xdr:rowOff>104775</xdr:rowOff>
    </xdr:from>
    <xdr:ext cx="1000124" cy="388937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28876" y="23307675"/>
          <a:ext cx="1000124" cy="388937"/>
        </a:xfrm>
        <a:prstGeom prst="rect">
          <a:avLst/>
        </a:prstGeom>
      </xdr:spPr>
    </xdr:pic>
    <xdr:clientData/>
  </xdr:oneCellAnchor>
  <xdr:twoCellAnchor editAs="oneCell">
    <xdr:from>
      <xdr:col>6</xdr:col>
      <xdr:colOff>400051</xdr:colOff>
      <xdr:row>42</xdr:row>
      <xdr:rowOff>123826</xdr:rowOff>
    </xdr:from>
    <xdr:to>
      <xdr:col>8</xdr:col>
      <xdr:colOff>221080</xdr:colOff>
      <xdr:row>57</xdr:row>
      <xdr:rowOff>1730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99" t="9290" r="57576" b="21031"/>
        <a:stretch/>
      </xdr:blipFill>
      <xdr:spPr>
        <a:xfrm>
          <a:off x="5753101" y="6315076"/>
          <a:ext cx="1335504" cy="2306780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42</xdr:row>
      <xdr:rowOff>142875</xdr:rowOff>
    </xdr:from>
    <xdr:to>
      <xdr:col>10</xdr:col>
      <xdr:colOff>334712</xdr:colOff>
      <xdr:row>57</xdr:row>
      <xdr:rowOff>28574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73" t="25663" r="43077" b="14272"/>
        <a:stretch/>
      </xdr:blipFill>
      <xdr:spPr>
        <a:xfrm>
          <a:off x="7400924" y="6334125"/>
          <a:ext cx="1487238" cy="2314575"/>
        </a:xfrm>
        <a:prstGeom prst="rect">
          <a:avLst/>
        </a:prstGeom>
      </xdr:spPr>
    </xdr:pic>
    <xdr:clientData/>
  </xdr:twoCellAnchor>
  <xdr:twoCellAnchor editAs="oneCell">
    <xdr:from>
      <xdr:col>11</xdr:col>
      <xdr:colOff>116760</xdr:colOff>
      <xdr:row>42</xdr:row>
      <xdr:rowOff>133350</xdr:rowOff>
    </xdr:from>
    <xdr:to>
      <xdr:col>12</xdr:col>
      <xdr:colOff>681196</xdr:colOff>
      <xdr:row>57</xdr:row>
      <xdr:rowOff>28574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70" t="11735" r="14868" b="22009"/>
        <a:stretch/>
      </xdr:blipFill>
      <xdr:spPr>
        <a:xfrm>
          <a:off x="9279810" y="6324600"/>
          <a:ext cx="1355011" cy="2324100"/>
        </a:xfrm>
        <a:prstGeom prst="rect">
          <a:avLst/>
        </a:prstGeom>
      </xdr:spPr>
    </xdr:pic>
    <xdr:clientData/>
  </xdr:twoCellAnchor>
  <xdr:oneCellAnchor>
    <xdr:from>
      <xdr:col>2</xdr:col>
      <xdr:colOff>257176</xdr:colOff>
      <xdr:row>222</xdr:row>
      <xdr:rowOff>38100</xdr:rowOff>
    </xdr:from>
    <xdr:ext cx="1000124" cy="388937"/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6476" y="34480500"/>
          <a:ext cx="1000124" cy="388937"/>
        </a:xfrm>
        <a:prstGeom prst="rect">
          <a:avLst/>
        </a:prstGeom>
      </xdr:spPr>
    </xdr:pic>
    <xdr:clientData/>
  </xdr:oneCellAnchor>
  <xdr:twoCellAnchor editAs="oneCell">
    <xdr:from>
      <xdr:col>0</xdr:col>
      <xdr:colOff>771526</xdr:colOff>
      <xdr:row>42</xdr:row>
      <xdr:rowOff>85725</xdr:rowOff>
    </xdr:from>
    <xdr:to>
      <xdr:col>5</xdr:col>
      <xdr:colOff>276226</xdr:colOff>
      <xdr:row>57</xdr:row>
      <xdr:rowOff>159194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1526" y="6276975"/>
          <a:ext cx="3943350" cy="2502345"/>
        </a:xfrm>
        <a:prstGeom prst="rect">
          <a:avLst/>
        </a:prstGeom>
      </xdr:spPr>
    </xdr:pic>
    <xdr:clientData/>
  </xdr:twoCellAnchor>
  <xdr:oneCellAnchor>
    <xdr:from>
      <xdr:col>2</xdr:col>
      <xdr:colOff>257176</xdr:colOff>
      <xdr:row>278</xdr:row>
      <xdr:rowOff>38100</xdr:rowOff>
    </xdr:from>
    <xdr:ext cx="1000124" cy="388937"/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6476" y="44015025"/>
          <a:ext cx="1000124" cy="388937"/>
        </a:xfrm>
        <a:prstGeom prst="rect">
          <a:avLst/>
        </a:prstGeom>
      </xdr:spPr>
    </xdr:pic>
    <xdr:clientData/>
  </xdr:oneCellAnchor>
  <xdr:oneCellAnchor>
    <xdr:from>
      <xdr:col>2</xdr:col>
      <xdr:colOff>257176</xdr:colOff>
      <xdr:row>334</xdr:row>
      <xdr:rowOff>38100</xdr:rowOff>
    </xdr:from>
    <xdr:ext cx="1000124" cy="388937"/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6476" y="53130450"/>
          <a:ext cx="1000124" cy="388937"/>
        </a:xfrm>
        <a:prstGeom prst="rect">
          <a:avLst/>
        </a:prstGeom>
      </xdr:spPr>
    </xdr:pic>
    <xdr:clientData/>
  </xdr:oneCellAnchor>
  <xdr:twoCellAnchor editAs="oneCell">
    <xdr:from>
      <xdr:col>0</xdr:col>
      <xdr:colOff>294409</xdr:colOff>
      <xdr:row>0</xdr:row>
      <xdr:rowOff>89190</xdr:rowOff>
    </xdr:from>
    <xdr:to>
      <xdr:col>1</xdr:col>
      <xdr:colOff>693964</xdr:colOff>
      <xdr:row>0</xdr:row>
      <xdr:rowOff>1197429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E2C942-8032-480B-8EC0-9CD977838A1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90"/>
          <a:ext cx="1311234" cy="110823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65810</xdr:colOff>
      <xdr:row>0</xdr:row>
      <xdr:rowOff>79665</xdr:rowOff>
    </xdr:from>
    <xdr:to>
      <xdr:col>1</xdr:col>
      <xdr:colOff>485776</xdr:colOff>
      <xdr:row>0</xdr:row>
      <xdr:rowOff>1104900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5B73B2A-00B2-49AA-97CD-2BA5AA4356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0" y="79665"/>
          <a:ext cx="1029566" cy="10252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303408</xdr:colOff>
      <xdr:row>0</xdr:row>
      <xdr:rowOff>32106</xdr:rowOff>
    </xdr:from>
    <xdr:to>
      <xdr:col>1</xdr:col>
      <xdr:colOff>884326</xdr:colOff>
      <xdr:row>0</xdr:row>
      <xdr:rowOff>1194048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AAAD250-1A9F-45D5-B6F5-3D0E914D62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08" y="32106"/>
          <a:ext cx="1228618" cy="1038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74</xdr:row>
      <xdr:rowOff>180975</xdr:rowOff>
    </xdr:from>
    <xdr:to>
      <xdr:col>4</xdr:col>
      <xdr:colOff>1731811</xdr:colOff>
      <xdr:row>93</xdr:row>
      <xdr:rowOff>133348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1" b="39898"/>
        <a:stretch/>
      </xdr:blipFill>
      <xdr:spPr bwMode="auto">
        <a:xfrm>
          <a:off x="28575" y="17230725"/>
          <a:ext cx="3655861" cy="3571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1758137</xdr:colOff>
      <xdr:row>75</xdr:row>
      <xdr:rowOff>38100</xdr:rowOff>
    </xdr:from>
    <xdr:to>
      <xdr:col>10</xdr:col>
      <xdr:colOff>18358</xdr:colOff>
      <xdr:row>90</xdr:row>
      <xdr:rowOff>140568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" t="60139" r="-581" b="-1096"/>
        <a:stretch>
          <a:fillRect/>
        </a:stretch>
      </xdr:blipFill>
      <xdr:spPr bwMode="auto">
        <a:xfrm>
          <a:off x="3710762" y="17278350"/>
          <a:ext cx="3870446" cy="2959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160731</xdr:colOff>
      <xdr:row>28</xdr:row>
      <xdr:rowOff>71815</xdr:rowOff>
    </xdr:from>
    <xdr:to>
      <xdr:col>6</xdr:col>
      <xdr:colOff>866022</xdr:colOff>
      <xdr:row>28</xdr:row>
      <xdr:rowOff>614922</xdr:rowOff>
    </xdr:to>
    <xdr:pic>
      <xdr:nvPicPr>
        <xdr:cNvPr id="6" name="Picture 1" descr="image00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711" y="6655495"/>
          <a:ext cx="4126671" cy="543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80</xdr:row>
      <xdr:rowOff>0</xdr:rowOff>
    </xdr:from>
    <xdr:to>
      <xdr:col>12</xdr:col>
      <xdr:colOff>304800</xdr:colOff>
      <xdr:row>81</xdr:row>
      <xdr:rowOff>114300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ABDDCFAF-A005-4178-AA4A-9A59FD7404E9}"/>
            </a:ext>
          </a:extLst>
        </xdr:cNvPr>
        <xdr:cNvSpPr>
          <a:spLocks noChangeAspect="1" noChangeArrowheads="1"/>
        </xdr:cNvSpPr>
      </xdr:nvSpPr>
      <xdr:spPr bwMode="auto">
        <a:xfrm>
          <a:off x="8782050" y="1838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400050</xdr:colOff>
      <xdr:row>53</xdr:row>
      <xdr:rowOff>1</xdr:rowOff>
    </xdr:from>
    <xdr:to>
      <xdr:col>7</xdr:col>
      <xdr:colOff>171825</xdr:colOff>
      <xdr:row>74</xdr:row>
      <xdr:rowOff>37359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EA6C4B2-7108-47AF-98C2-061ABA150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325" b="1"/>
        <a:stretch/>
      </xdr:blipFill>
      <xdr:spPr>
        <a:xfrm>
          <a:off x="1009650" y="13049251"/>
          <a:ext cx="5447314" cy="403785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0</xdr:row>
      <xdr:rowOff>27214</xdr:rowOff>
    </xdr:from>
    <xdr:to>
      <xdr:col>2</xdr:col>
      <xdr:colOff>462641</xdr:colOff>
      <xdr:row>0</xdr:row>
      <xdr:rowOff>1333499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75D53374-D266-4312-9926-D609482F82B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27214"/>
          <a:ext cx="1251856" cy="13062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439479</xdr:colOff>
      <xdr:row>0</xdr:row>
      <xdr:rowOff>32106</xdr:rowOff>
    </xdr:from>
    <xdr:to>
      <xdr:col>2</xdr:col>
      <xdr:colOff>13607</xdr:colOff>
      <xdr:row>0</xdr:row>
      <xdr:rowOff>1387929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287F523-F40D-4D5D-AEFE-82E9AA8B25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479" y="32106"/>
          <a:ext cx="1669628" cy="13558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1467970</xdr:colOff>
      <xdr:row>337</xdr:row>
      <xdr:rowOff>34637</xdr:rowOff>
    </xdr:from>
    <xdr:to>
      <xdr:col>2</xdr:col>
      <xdr:colOff>4156363</xdr:colOff>
      <xdr:row>351</xdr:row>
      <xdr:rowOff>103909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A609A14-E223-43FF-A9E7-C13B47C9A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2" y="141420273"/>
          <a:ext cx="2688393" cy="2978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439479</xdr:colOff>
      <xdr:row>0</xdr:row>
      <xdr:rowOff>32106</xdr:rowOff>
    </xdr:from>
    <xdr:to>
      <xdr:col>2</xdr:col>
      <xdr:colOff>32657</xdr:colOff>
      <xdr:row>0</xdr:row>
      <xdr:rowOff>1469571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BA02B46-0D98-48DF-A6D6-1840C39282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479" y="32106"/>
          <a:ext cx="1661464" cy="14374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27</xdr:row>
      <xdr:rowOff>0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07645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65" cy="17222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076450" y="277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0</xdr:col>
      <xdr:colOff>239454</xdr:colOff>
      <xdr:row>0</xdr:row>
      <xdr:rowOff>28575</xdr:rowOff>
    </xdr:from>
    <xdr:to>
      <xdr:col>2</xdr:col>
      <xdr:colOff>142875</xdr:colOff>
      <xdr:row>0</xdr:row>
      <xdr:rowOff>990600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4A95A14-D852-471C-A108-B44BCD1769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4" y="28575"/>
          <a:ext cx="1160721" cy="962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24</xdr:row>
      <xdr:rowOff>0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885950" y="687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28</xdr:row>
      <xdr:rowOff>0</xdr:rowOff>
    </xdr:from>
    <xdr:ext cx="65" cy="17222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257300" y="763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34</xdr:row>
      <xdr:rowOff>0</xdr:rowOff>
    </xdr:from>
    <xdr:ext cx="65" cy="172227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B81622CA-DFEF-478B-80B3-C3B3881DA125}"/>
            </a:ext>
          </a:extLst>
        </xdr:cNvPr>
        <xdr:cNvSpPr txBox="1"/>
      </xdr:nvSpPr>
      <xdr:spPr>
        <a:xfrm>
          <a:off x="1264227" y="639906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0</xdr:col>
      <xdr:colOff>239454</xdr:colOff>
      <xdr:row>0</xdr:row>
      <xdr:rowOff>28575</xdr:rowOff>
    </xdr:from>
    <xdr:to>
      <xdr:col>2</xdr:col>
      <xdr:colOff>142875</xdr:colOff>
      <xdr:row>0</xdr:row>
      <xdr:rowOff>1192357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65B937-B5A3-4850-820E-66A7ED2DC1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4" y="28575"/>
          <a:ext cx="1160721" cy="9620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14</xdr:row>
      <xdr:rowOff>0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885950" y="687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14</xdr:row>
      <xdr:rowOff>0</xdr:rowOff>
    </xdr:from>
    <xdr:ext cx="65" cy="17222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257300" y="763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0</xdr:col>
      <xdr:colOff>294409</xdr:colOff>
      <xdr:row>0</xdr:row>
      <xdr:rowOff>89189</xdr:rowOff>
    </xdr:from>
    <xdr:to>
      <xdr:col>2</xdr:col>
      <xdr:colOff>82262</xdr:colOff>
      <xdr:row>0</xdr:row>
      <xdr:rowOff>1056409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083F8E-9D72-496F-A887-0D91D8F9B1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89"/>
          <a:ext cx="1052080" cy="9672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124746</xdr:colOff>
      <xdr:row>17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aixaDeTexto 28">
              <a:extLst>
                <a:ext uri="{FF2B5EF4-FFF2-40B4-BE49-F238E27FC236}">
                  <a16:creationId xmlns:a16="http://schemas.microsoft.com/office/drawing/2014/main" id="{00000000-0008-0000-0900-00001D000000}"/>
                </a:ext>
              </a:extLst>
            </xdr:cNvPr>
            <xdr:cNvSpPr txBox="1"/>
          </xdr:nvSpPr>
          <xdr:spPr>
            <a:xfrm>
              <a:off x="896271" y="33051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9" name="CaixaDeTexto 28"/>
            <xdr:cNvSpPr txBox="1"/>
          </xdr:nvSpPr>
          <xdr:spPr>
            <a:xfrm>
              <a:off x="896271" y="33051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aixaDeTexto 29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SpPr txBox="1"/>
          </xdr:nvSpPr>
          <xdr:spPr>
            <a:xfrm>
              <a:off x="896271" y="34575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0" name="CaixaDeTexto 29"/>
            <xdr:cNvSpPr txBox="1"/>
          </xdr:nvSpPr>
          <xdr:spPr>
            <a:xfrm>
              <a:off x="896271" y="34575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aixaDeTexto 30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1" name="CaixaDeTexto 30"/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aixaDeTexto 31">
              <a:extLst>
                <a:ext uri="{FF2B5EF4-FFF2-40B4-BE49-F238E27FC236}">
                  <a16:creationId xmlns:a16="http://schemas.microsoft.com/office/drawing/2014/main" id="{00000000-0008-0000-0900-000020000000}"/>
                </a:ext>
              </a:extLst>
            </xdr:cNvPr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2" name="CaixaDeTexto 31"/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aixaDeTexto 32">
              <a:extLst>
                <a:ext uri="{FF2B5EF4-FFF2-40B4-BE49-F238E27FC236}">
                  <a16:creationId xmlns:a16="http://schemas.microsoft.com/office/drawing/2014/main" id="{00000000-0008-0000-0900-000021000000}"/>
                </a:ext>
              </a:extLst>
            </xdr:cNvPr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3" name="CaixaDeTexto 32"/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aixaDeTexto 33">
              <a:extLst>
                <a:ext uri="{FF2B5EF4-FFF2-40B4-BE49-F238E27FC236}">
                  <a16:creationId xmlns:a16="http://schemas.microsoft.com/office/drawing/2014/main" id="{00000000-0008-0000-0900-000022000000}"/>
                </a:ext>
              </a:extLst>
            </xdr:cNvPr>
            <xdr:cNvSpPr txBox="1"/>
          </xdr:nvSpPr>
          <xdr:spPr>
            <a:xfrm>
              <a:off x="896271" y="37814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4" name="CaixaDeTexto 33"/>
            <xdr:cNvSpPr txBox="1"/>
          </xdr:nvSpPr>
          <xdr:spPr>
            <a:xfrm>
              <a:off x="896271" y="37814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aixaDeTexto 34">
              <a:extLst>
                <a:ext uri="{FF2B5EF4-FFF2-40B4-BE49-F238E27FC236}">
                  <a16:creationId xmlns:a16="http://schemas.microsoft.com/office/drawing/2014/main" id="{00000000-0008-0000-0900-000023000000}"/>
                </a:ext>
              </a:extLst>
            </xdr:cNvPr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5" name="CaixaDeTexto 34"/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CaixaDeTexto 35">
              <a:extLst>
                <a:ext uri="{FF2B5EF4-FFF2-40B4-BE49-F238E27FC236}">
                  <a16:creationId xmlns:a16="http://schemas.microsoft.com/office/drawing/2014/main" id="{00000000-0008-0000-0900-000024000000}"/>
                </a:ext>
              </a:extLst>
            </xdr:cNvPr>
            <xdr:cNvSpPr txBox="1"/>
          </xdr:nvSpPr>
          <xdr:spPr>
            <a:xfrm>
              <a:off x="896271" y="4105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6" name="CaixaDeTexto 35"/>
            <xdr:cNvSpPr txBox="1"/>
          </xdr:nvSpPr>
          <xdr:spPr>
            <a:xfrm>
              <a:off x="896271" y="4105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aixaDeTexto 36">
              <a:extLst>
                <a:ext uri="{FF2B5EF4-FFF2-40B4-BE49-F238E27FC236}">
                  <a16:creationId xmlns:a16="http://schemas.microsoft.com/office/drawing/2014/main" id="{00000000-0008-0000-0900-000025000000}"/>
                </a:ext>
              </a:extLst>
            </xdr:cNvPr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" name="CaixaDeTexto 36"/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25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aixaDeTexto 37">
              <a:extLst>
                <a:ext uri="{FF2B5EF4-FFF2-40B4-BE49-F238E27FC236}">
                  <a16:creationId xmlns:a16="http://schemas.microsoft.com/office/drawing/2014/main" id="{00000000-0008-0000-0900-000026000000}"/>
                </a:ext>
              </a:extLst>
            </xdr:cNvPr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" name="CaixaDeTexto 37"/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aixaDeTexto 38">
              <a:extLst>
                <a:ext uri="{FF2B5EF4-FFF2-40B4-BE49-F238E27FC236}">
                  <a16:creationId xmlns:a16="http://schemas.microsoft.com/office/drawing/2014/main" id="{00000000-0008-0000-0900-000027000000}"/>
                </a:ext>
              </a:extLst>
            </xdr:cNvPr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" name="CaixaDeTexto 38"/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aixaDeTexto 39">
              <a:extLst>
                <a:ext uri="{FF2B5EF4-FFF2-40B4-BE49-F238E27FC236}">
                  <a16:creationId xmlns:a16="http://schemas.microsoft.com/office/drawing/2014/main" id="{00000000-0008-0000-0900-000028000000}"/>
                </a:ext>
              </a:extLst>
            </xdr:cNvPr>
            <xdr:cNvSpPr txBox="1"/>
          </xdr:nvSpPr>
          <xdr:spPr>
            <a:xfrm>
              <a:off x="896271" y="4429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" name="CaixaDeTexto 39"/>
            <xdr:cNvSpPr txBox="1"/>
          </xdr:nvSpPr>
          <xdr:spPr>
            <a:xfrm>
              <a:off x="896271" y="4429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26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aixaDeTexto 40">
              <a:extLst>
                <a:ext uri="{FF2B5EF4-FFF2-40B4-BE49-F238E27FC236}">
                  <a16:creationId xmlns:a16="http://schemas.microsoft.com/office/drawing/2014/main" id="{00000000-0008-0000-0900-000029000000}"/>
                </a:ext>
              </a:extLst>
            </xdr:cNvPr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" name="CaixaDeTexto 40"/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25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aixaDeTexto 41">
              <a:extLst>
                <a:ext uri="{FF2B5EF4-FFF2-40B4-BE49-F238E27FC236}">
                  <a16:creationId xmlns:a16="http://schemas.microsoft.com/office/drawing/2014/main" id="{00000000-0008-0000-0900-00002A000000}"/>
                </a:ext>
              </a:extLst>
            </xdr:cNvPr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" name="CaixaDeTexto 41"/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27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aixaDeTexto 42">
              <a:extLst>
                <a:ext uri="{FF2B5EF4-FFF2-40B4-BE49-F238E27FC236}">
                  <a16:creationId xmlns:a16="http://schemas.microsoft.com/office/drawing/2014/main" id="{00000000-0008-0000-0900-00002B000000}"/>
                </a:ext>
              </a:extLst>
            </xdr:cNvPr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" name="CaixaDeTexto 42"/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26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aixaDeTexto 43">
              <a:extLst>
                <a:ext uri="{FF2B5EF4-FFF2-40B4-BE49-F238E27FC236}">
                  <a16:creationId xmlns:a16="http://schemas.microsoft.com/office/drawing/2014/main" id="{00000000-0008-0000-0900-00002C000000}"/>
                </a:ext>
              </a:extLst>
            </xdr:cNvPr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" name="CaixaDeTexto 43"/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27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aixaDeTexto 44">
              <a:extLst>
                <a:ext uri="{FF2B5EF4-FFF2-40B4-BE49-F238E27FC236}">
                  <a16:creationId xmlns:a16="http://schemas.microsoft.com/office/drawing/2014/main" id="{00000000-0008-0000-0900-00002D000000}"/>
                </a:ext>
              </a:extLst>
            </xdr:cNvPr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" name="CaixaDeTexto 44"/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aixaDeTexto 18">
              <a:extLst>
                <a:ext uri="{FF2B5EF4-FFF2-40B4-BE49-F238E27FC236}">
                  <a16:creationId xmlns:a16="http://schemas.microsoft.com/office/drawing/2014/main" id="{00000000-0008-0000-0900-000013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" name="CaixaDeTexto 18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aixaDeTexto 19">
              <a:extLst>
                <a:ext uri="{FF2B5EF4-FFF2-40B4-BE49-F238E27FC236}">
                  <a16:creationId xmlns:a16="http://schemas.microsoft.com/office/drawing/2014/main" id="{00000000-0008-0000-0900-000014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" name="CaixaDeTexto 19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aixaDeTexto 20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" name="CaixaDeTexto 20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aixaDeTexto 21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" name="CaixaDeTexto 21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aixaDeTexto 22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" name="CaixaDeTexto 22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aixaDeTexto 23">
              <a:extLst>
                <a:ext uri="{FF2B5EF4-FFF2-40B4-BE49-F238E27FC236}">
                  <a16:creationId xmlns:a16="http://schemas.microsoft.com/office/drawing/2014/main" id="{00000000-0008-0000-0900-000018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" name="CaixaDeTexto 23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aixaDeTexto 24">
              <a:extLst>
                <a:ext uri="{FF2B5EF4-FFF2-40B4-BE49-F238E27FC236}">
                  <a16:creationId xmlns:a16="http://schemas.microsoft.com/office/drawing/2014/main" id="{00000000-0008-0000-0900-000019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5" name="CaixaDeTexto 24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aixaDeTexto 25">
              <a:extLst>
                <a:ext uri="{FF2B5EF4-FFF2-40B4-BE49-F238E27FC236}">
                  <a16:creationId xmlns:a16="http://schemas.microsoft.com/office/drawing/2014/main" id="{00000000-0008-0000-0900-00001A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6" name="CaixaDeTexto 25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aixaDeTexto 26">
              <a:extLst>
                <a:ext uri="{FF2B5EF4-FFF2-40B4-BE49-F238E27FC236}">
                  <a16:creationId xmlns:a16="http://schemas.microsoft.com/office/drawing/2014/main" id="{00000000-0008-0000-0900-00001B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7" name="CaixaDeTexto 26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aixaDeTexto 27">
              <a:extLst>
                <a:ext uri="{FF2B5EF4-FFF2-40B4-BE49-F238E27FC236}">
                  <a16:creationId xmlns:a16="http://schemas.microsoft.com/office/drawing/2014/main" id="{00000000-0008-0000-0900-00001C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8" name="CaixaDeTexto 27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aixaDeTexto 45">
              <a:extLst>
                <a:ext uri="{FF2B5EF4-FFF2-40B4-BE49-F238E27FC236}">
                  <a16:creationId xmlns:a16="http://schemas.microsoft.com/office/drawing/2014/main" id="{00000000-0008-0000-0900-00002E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" name="CaixaDeTexto 45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CaixaDeTexto 46">
              <a:extLst>
                <a:ext uri="{FF2B5EF4-FFF2-40B4-BE49-F238E27FC236}">
                  <a16:creationId xmlns:a16="http://schemas.microsoft.com/office/drawing/2014/main" id="{00000000-0008-0000-0900-00002F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" name="CaixaDeTexto 46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aixaDeTexto 47">
              <a:extLst>
                <a:ext uri="{FF2B5EF4-FFF2-40B4-BE49-F238E27FC236}">
                  <a16:creationId xmlns:a16="http://schemas.microsoft.com/office/drawing/2014/main" id="{00000000-0008-0000-0900-000030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" name="CaixaDeTexto 47"/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aixaDeTexto 48">
              <a:extLst>
                <a:ext uri="{FF2B5EF4-FFF2-40B4-BE49-F238E27FC236}">
                  <a16:creationId xmlns:a16="http://schemas.microsoft.com/office/drawing/2014/main" id="{00000000-0008-0000-0900-000031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" name="CaixaDeTexto 48"/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aixaDeTexto 49">
              <a:extLst>
                <a:ext uri="{FF2B5EF4-FFF2-40B4-BE49-F238E27FC236}">
                  <a16:creationId xmlns:a16="http://schemas.microsoft.com/office/drawing/2014/main" id="{00000000-0008-0000-0900-000032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" name="CaixaDeTexto 49"/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aixaDeTexto 50">
              <a:extLst>
                <a:ext uri="{FF2B5EF4-FFF2-40B4-BE49-F238E27FC236}">
                  <a16:creationId xmlns:a16="http://schemas.microsoft.com/office/drawing/2014/main" id="{00000000-0008-0000-0900-000033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" name="CaixaDeTexto 50"/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aixaDeTexto 51">
              <a:extLst>
                <a:ext uri="{FF2B5EF4-FFF2-40B4-BE49-F238E27FC236}">
                  <a16:creationId xmlns:a16="http://schemas.microsoft.com/office/drawing/2014/main" id="{00000000-0008-0000-0900-000034000000}"/>
                </a:ext>
              </a:extLst>
            </xdr:cNvPr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" name="CaixaDeTexto 51"/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aixaDeTexto 52">
              <a:extLst>
                <a:ext uri="{FF2B5EF4-FFF2-40B4-BE49-F238E27FC236}">
                  <a16:creationId xmlns:a16="http://schemas.microsoft.com/office/drawing/2014/main" id="{00000000-0008-0000-0900-000035000000}"/>
                </a:ext>
              </a:extLst>
            </xdr:cNvPr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" name="CaixaDeTexto 52"/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aixaDeTexto 53">
              <a:extLst>
                <a:ext uri="{FF2B5EF4-FFF2-40B4-BE49-F238E27FC236}">
                  <a16:creationId xmlns:a16="http://schemas.microsoft.com/office/drawing/2014/main" id="{00000000-0008-0000-0900-000036000000}"/>
                </a:ext>
              </a:extLst>
            </xdr:cNvPr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" name="CaixaDeTexto 53"/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aixaDeTexto 54">
              <a:extLst>
                <a:ext uri="{FF2B5EF4-FFF2-40B4-BE49-F238E27FC236}">
                  <a16:creationId xmlns:a16="http://schemas.microsoft.com/office/drawing/2014/main" id="{00000000-0008-0000-0900-000037000000}"/>
                </a:ext>
              </a:extLst>
            </xdr:cNvPr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" name="CaixaDeTexto 54"/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aixaDeTexto 55">
              <a:extLst>
                <a:ext uri="{FF2B5EF4-FFF2-40B4-BE49-F238E27FC236}">
                  <a16:creationId xmlns:a16="http://schemas.microsoft.com/office/drawing/2014/main" id="{00000000-0008-0000-0900-000038000000}"/>
                </a:ext>
              </a:extLst>
            </xdr:cNvPr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" name="CaixaDeTexto 55"/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aixaDeTexto 56">
              <a:extLst>
                <a:ext uri="{FF2B5EF4-FFF2-40B4-BE49-F238E27FC236}">
                  <a16:creationId xmlns:a16="http://schemas.microsoft.com/office/drawing/2014/main" id="{00000000-0008-0000-0900-000039000000}"/>
                </a:ext>
              </a:extLst>
            </xdr:cNvPr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" name="CaixaDeTexto 56"/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aixaDeTexto 57">
              <a:extLst>
                <a:ext uri="{FF2B5EF4-FFF2-40B4-BE49-F238E27FC236}">
                  <a16:creationId xmlns:a16="http://schemas.microsoft.com/office/drawing/2014/main" id="{00000000-0008-0000-0900-00003A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" name="CaixaDeTexto 57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aixaDeTexto 58">
              <a:extLst>
                <a:ext uri="{FF2B5EF4-FFF2-40B4-BE49-F238E27FC236}">
                  <a16:creationId xmlns:a16="http://schemas.microsoft.com/office/drawing/2014/main" id="{00000000-0008-0000-0900-00003B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" name="CaixaDeTexto 58"/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41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aixaDeTexto 62">
              <a:extLst>
                <a:ext uri="{FF2B5EF4-FFF2-40B4-BE49-F238E27FC236}">
                  <a16:creationId xmlns:a16="http://schemas.microsoft.com/office/drawing/2014/main" id="{00000000-0008-0000-0900-00003F000000}"/>
                </a:ext>
              </a:extLst>
            </xdr:cNvPr>
            <xdr:cNvSpPr txBox="1"/>
          </xdr:nvSpPr>
          <xdr:spPr>
            <a:xfrm>
              <a:off x="732881" y="133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" name="CaixaDeTexto 62"/>
            <xdr:cNvSpPr txBox="1"/>
          </xdr:nvSpPr>
          <xdr:spPr>
            <a:xfrm>
              <a:off x="732881" y="133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aixaDeTexto 59">
              <a:extLst>
                <a:ext uri="{FF2B5EF4-FFF2-40B4-BE49-F238E27FC236}">
                  <a16:creationId xmlns:a16="http://schemas.microsoft.com/office/drawing/2014/main" id="{00000000-0008-0000-0900-00003C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" name="CaixaDeTexto 59"/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aixaDeTexto 60">
              <a:extLst>
                <a:ext uri="{FF2B5EF4-FFF2-40B4-BE49-F238E27FC236}">
                  <a16:creationId xmlns:a16="http://schemas.microsoft.com/office/drawing/2014/main" id="{00000000-0008-0000-0900-00003D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" name="CaixaDeTexto 60"/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40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aixaDeTexto 69">
              <a:extLst>
                <a:ext uri="{FF2B5EF4-FFF2-40B4-BE49-F238E27FC236}">
                  <a16:creationId xmlns:a16="http://schemas.microsoft.com/office/drawing/2014/main" id="{00000000-0008-0000-0900-000046000000}"/>
                </a:ext>
              </a:extLst>
            </xdr:cNvPr>
            <xdr:cNvSpPr txBox="1"/>
          </xdr:nvSpPr>
          <xdr:spPr>
            <a:xfrm>
              <a:off x="732881" y="722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" name="CaixaDeTexto 69"/>
            <xdr:cNvSpPr txBox="1"/>
          </xdr:nvSpPr>
          <xdr:spPr>
            <a:xfrm>
              <a:off x="732881" y="722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aixaDeTexto 80">
              <a:extLst>
                <a:ext uri="{FF2B5EF4-FFF2-40B4-BE49-F238E27FC236}">
                  <a16:creationId xmlns:a16="http://schemas.microsoft.com/office/drawing/2014/main" id="{00000000-0008-0000-0900-000051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" name="CaixaDeTexto 80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aixaDeTexto 81">
              <a:extLst>
                <a:ext uri="{FF2B5EF4-FFF2-40B4-BE49-F238E27FC236}">
                  <a16:creationId xmlns:a16="http://schemas.microsoft.com/office/drawing/2014/main" id="{00000000-0008-0000-0900-000052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" name="CaixaDeTexto 81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" name="CaixaDeTexto 82">
              <a:extLst>
                <a:ext uri="{FF2B5EF4-FFF2-40B4-BE49-F238E27FC236}">
                  <a16:creationId xmlns:a16="http://schemas.microsoft.com/office/drawing/2014/main" id="{00000000-0008-0000-0900-000053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" name="CaixaDeTexto 82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" name="CaixaDeTexto 83">
              <a:extLst>
                <a:ext uri="{FF2B5EF4-FFF2-40B4-BE49-F238E27FC236}">
                  <a16:creationId xmlns:a16="http://schemas.microsoft.com/office/drawing/2014/main" id="{00000000-0008-0000-0900-000054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" name="CaixaDeTexto 83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" name="CaixaDeTexto 84">
              <a:extLst>
                <a:ext uri="{FF2B5EF4-FFF2-40B4-BE49-F238E27FC236}">
                  <a16:creationId xmlns:a16="http://schemas.microsoft.com/office/drawing/2014/main" id="{00000000-0008-0000-0900-000055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" name="CaixaDeTexto 84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" name="CaixaDeTexto 85">
              <a:extLst>
                <a:ext uri="{FF2B5EF4-FFF2-40B4-BE49-F238E27FC236}">
                  <a16:creationId xmlns:a16="http://schemas.microsoft.com/office/drawing/2014/main" id="{00000000-0008-0000-0900-000056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" name="CaixaDeTexto 85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25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" name="CaixaDeTexto 86">
              <a:extLst>
                <a:ext uri="{FF2B5EF4-FFF2-40B4-BE49-F238E27FC236}">
                  <a16:creationId xmlns:a16="http://schemas.microsoft.com/office/drawing/2014/main" id="{00000000-0008-0000-0900-000057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" name="CaixaDeTexto 86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26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" name="CaixaDeTexto 87">
              <a:extLst>
                <a:ext uri="{FF2B5EF4-FFF2-40B4-BE49-F238E27FC236}">
                  <a16:creationId xmlns:a16="http://schemas.microsoft.com/office/drawing/2014/main" id="{00000000-0008-0000-0900-000058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" name="CaixaDeTexto 87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27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" name="CaixaDeTexto 88">
              <a:extLst>
                <a:ext uri="{FF2B5EF4-FFF2-40B4-BE49-F238E27FC236}">
                  <a16:creationId xmlns:a16="http://schemas.microsoft.com/office/drawing/2014/main" id="{00000000-0008-0000-0900-000059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" name="CaixaDeTexto 88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" name="CaixaDeTexto 89">
              <a:extLst>
                <a:ext uri="{FF2B5EF4-FFF2-40B4-BE49-F238E27FC236}">
                  <a16:creationId xmlns:a16="http://schemas.microsoft.com/office/drawing/2014/main" id="{00000000-0008-0000-0900-00005A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" name="CaixaDeTexto 89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" name="CaixaDeTexto 90">
              <a:extLst>
                <a:ext uri="{FF2B5EF4-FFF2-40B4-BE49-F238E27FC236}">
                  <a16:creationId xmlns:a16="http://schemas.microsoft.com/office/drawing/2014/main" id="{00000000-0008-0000-0900-00005B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" name="CaixaDeTexto 90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" name="CaixaDeTexto 91">
              <a:extLst>
                <a:ext uri="{FF2B5EF4-FFF2-40B4-BE49-F238E27FC236}">
                  <a16:creationId xmlns:a16="http://schemas.microsoft.com/office/drawing/2014/main" id="{00000000-0008-0000-0900-00005C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" name="CaixaDeTexto 91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" name="CaixaDeTexto 92">
              <a:extLst>
                <a:ext uri="{FF2B5EF4-FFF2-40B4-BE49-F238E27FC236}">
                  <a16:creationId xmlns:a16="http://schemas.microsoft.com/office/drawing/2014/main" id="{00000000-0008-0000-0900-00005D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" name="CaixaDeTexto 92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" name="CaixaDeTexto 93">
              <a:extLst>
                <a:ext uri="{FF2B5EF4-FFF2-40B4-BE49-F238E27FC236}">
                  <a16:creationId xmlns:a16="http://schemas.microsoft.com/office/drawing/2014/main" id="{00000000-0008-0000-0900-00005E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" name="CaixaDeTexto 93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" name="CaixaDeTexto 94">
              <a:extLst>
                <a:ext uri="{FF2B5EF4-FFF2-40B4-BE49-F238E27FC236}">
                  <a16:creationId xmlns:a16="http://schemas.microsoft.com/office/drawing/2014/main" id="{00000000-0008-0000-0900-00005F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" name="CaixaDeTexto 94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" name="CaixaDeTexto 95">
              <a:extLst>
                <a:ext uri="{FF2B5EF4-FFF2-40B4-BE49-F238E27FC236}">
                  <a16:creationId xmlns:a16="http://schemas.microsoft.com/office/drawing/2014/main" id="{00000000-0008-0000-0900-000060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" name="CaixaDeTexto 95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" name="CaixaDeTexto 96">
              <a:extLst>
                <a:ext uri="{FF2B5EF4-FFF2-40B4-BE49-F238E27FC236}">
                  <a16:creationId xmlns:a16="http://schemas.microsoft.com/office/drawing/2014/main" id="{00000000-0008-0000-0900-000061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" name="CaixaDeTexto 96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" name="CaixaDeTexto 97">
              <a:extLst>
                <a:ext uri="{FF2B5EF4-FFF2-40B4-BE49-F238E27FC236}">
                  <a16:creationId xmlns:a16="http://schemas.microsoft.com/office/drawing/2014/main" id="{00000000-0008-0000-0900-000062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" name="CaixaDeTexto 97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" name="CaixaDeTexto 98">
              <a:extLst>
                <a:ext uri="{FF2B5EF4-FFF2-40B4-BE49-F238E27FC236}">
                  <a16:creationId xmlns:a16="http://schemas.microsoft.com/office/drawing/2014/main" id="{00000000-0008-0000-0900-000063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" name="CaixaDeTexto 98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" name="CaixaDeTexto 99">
              <a:extLst>
                <a:ext uri="{FF2B5EF4-FFF2-40B4-BE49-F238E27FC236}">
                  <a16:creationId xmlns:a16="http://schemas.microsoft.com/office/drawing/2014/main" id="{00000000-0008-0000-0900-000064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" name="CaixaDeTexto 99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" name="CaixaDeTexto 100">
              <a:extLst>
                <a:ext uri="{FF2B5EF4-FFF2-40B4-BE49-F238E27FC236}">
                  <a16:creationId xmlns:a16="http://schemas.microsoft.com/office/drawing/2014/main" id="{00000000-0008-0000-0900-000065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" name="CaixaDeTexto 100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" name="CaixaDeTexto 101">
              <a:extLst>
                <a:ext uri="{FF2B5EF4-FFF2-40B4-BE49-F238E27FC236}">
                  <a16:creationId xmlns:a16="http://schemas.microsoft.com/office/drawing/2014/main" id="{00000000-0008-0000-0900-000066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" name="CaixaDeTexto 101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" name="CaixaDeTexto 102">
              <a:extLst>
                <a:ext uri="{FF2B5EF4-FFF2-40B4-BE49-F238E27FC236}">
                  <a16:creationId xmlns:a16="http://schemas.microsoft.com/office/drawing/2014/main" id="{00000000-0008-0000-0900-000067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" name="CaixaDeTexto 102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" name="CaixaDeTexto 103">
              <a:extLst>
                <a:ext uri="{FF2B5EF4-FFF2-40B4-BE49-F238E27FC236}">
                  <a16:creationId xmlns:a16="http://schemas.microsoft.com/office/drawing/2014/main" id="{00000000-0008-0000-0900-000068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" name="CaixaDeTexto 103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" name="CaixaDeTexto 104">
              <a:extLst>
                <a:ext uri="{FF2B5EF4-FFF2-40B4-BE49-F238E27FC236}">
                  <a16:creationId xmlns:a16="http://schemas.microsoft.com/office/drawing/2014/main" id="{00000000-0008-0000-0900-000069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" name="CaixaDeTexto 104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" name="CaixaDeTexto 105">
              <a:extLst>
                <a:ext uri="{FF2B5EF4-FFF2-40B4-BE49-F238E27FC236}">
                  <a16:creationId xmlns:a16="http://schemas.microsoft.com/office/drawing/2014/main" id="{00000000-0008-0000-0900-00006A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" name="CaixaDeTexto 105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" name="CaixaDeTexto 106">
              <a:extLst>
                <a:ext uri="{FF2B5EF4-FFF2-40B4-BE49-F238E27FC236}">
                  <a16:creationId xmlns:a16="http://schemas.microsoft.com/office/drawing/2014/main" id="{00000000-0008-0000-0900-00006B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" name="CaixaDeTexto 106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8" name="CaixaDeTexto 107">
              <a:extLst>
                <a:ext uri="{FF2B5EF4-FFF2-40B4-BE49-F238E27FC236}">
                  <a16:creationId xmlns:a16="http://schemas.microsoft.com/office/drawing/2014/main" id="{00000000-0008-0000-0900-00006C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8" name="CaixaDeTexto 107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9" name="CaixaDeTexto 108">
              <a:extLst>
                <a:ext uri="{FF2B5EF4-FFF2-40B4-BE49-F238E27FC236}">
                  <a16:creationId xmlns:a16="http://schemas.microsoft.com/office/drawing/2014/main" id="{00000000-0008-0000-0900-00006D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9" name="CaixaDeTexto 108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0" name="CaixaDeTexto 109">
              <a:extLst>
                <a:ext uri="{FF2B5EF4-FFF2-40B4-BE49-F238E27FC236}">
                  <a16:creationId xmlns:a16="http://schemas.microsoft.com/office/drawing/2014/main" id="{00000000-0008-0000-0900-00006E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0" name="CaixaDeTexto 109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1" name="CaixaDeTexto 110">
              <a:extLst>
                <a:ext uri="{FF2B5EF4-FFF2-40B4-BE49-F238E27FC236}">
                  <a16:creationId xmlns:a16="http://schemas.microsoft.com/office/drawing/2014/main" id="{00000000-0008-0000-0900-00006F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1" name="CaixaDeTexto 110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2" name="CaixaDeTexto 111">
              <a:extLst>
                <a:ext uri="{FF2B5EF4-FFF2-40B4-BE49-F238E27FC236}">
                  <a16:creationId xmlns:a16="http://schemas.microsoft.com/office/drawing/2014/main" id="{00000000-0008-0000-0900-000070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2" name="CaixaDeTexto 111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3" name="CaixaDeTexto 112">
              <a:extLst>
                <a:ext uri="{FF2B5EF4-FFF2-40B4-BE49-F238E27FC236}">
                  <a16:creationId xmlns:a16="http://schemas.microsoft.com/office/drawing/2014/main" id="{00000000-0008-0000-0900-000071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3" name="CaixaDeTexto 112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4" name="CaixaDeTexto 113">
              <a:extLst>
                <a:ext uri="{FF2B5EF4-FFF2-40B4-BE49-F238E27FC236}">
                  <a16:creationId xmlns:a16="http://schemas.microsoft.com/office/drawing/2014/main" id="{00000000-0008-0000-0900-000072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4" name="CaixaDeTexto 113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5" name="CaixaDeTexto 114">
              <a:extLst>
                <a:ext uri="{FF2B5EF4-FFF2-40B4-BE49-F238E27FC236}">
                  <a16:creationId xmlns:a16="http://schemas.microsoft.com/office/drawing/2014/main" id="{00000000-0008-0000-0900-000073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5" name="CaixaDeTexto 114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6" name="CaixaDeTexto 115">
              <a:extLst>
                <a:ext uri="{FF2B5EF4-FFF2-40B4-BE49-F238E27FC236}">
                  <a16:creationId xmlns:a16="http://schemas.microsoft.com/office/drawing/2014/main" id="{00000000-0008-0000-0900-000074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6" name="CaixaDeTexto 115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7" name="CaixaDeTexto 116">
              <a:extLst>
                <a:ext uri="{FF2B5EF4-FFF2-40B4-BE49-F238E27FC236}">
                  <a16:creationId xmlns:a16="http://schemas.microsoft.com/office/drawing/2014/main" id="{00000000-0008-0000-0900-000075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7" name="CaixaDeTexto 116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8" name="CaixaDeTexto 117">
              <a:extLst>
                <a:ext uri="{FF2B5EF4-FFF2-40B4-BE49-F238E27FC236}">
                  <a16:creationId xmlns:a16="http://schemas.microsoft.com/office/drawing/2014/main" id="{00000000-0008-0000-0900-000076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8" name="CaixaDeTexto 117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9" name="CaixaDeTexto 118">
              <a:extLst>
                <a:ext uri="{FF2B5EF4-FFF2-40B4-BE49-F238E27FC236}">
                  <a16:creationId xmlns:a16="http://schemas.microsoft.com/office/drawing/2014/main" id="{00000000-0008-0000-0900-000077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9" name="CaixaDeTexto 118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0" name="CaixaDeTexto 119">
              <a:extLst>
                <a:ext uri="{FF2B5EF4-FFF2-40B4-BE49-F238E27FC236}">
                  <a16:creationId xmlns:a16="http://schemas.microsoft.com/office/drawing/2014/main" id="{00000000-0008-0000-0900-000078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0" name="CaixaDeTexto 119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1" name="CaixaDeTexto 120">
              <a:extLst>
                <a:ext uri="{FF2B5EF4-FFF2-40B4-BE49-F238E27FC236}">
                  <a16:creationId xmlns:a16="http://schemas.microsoft.com/office/drawing/2014/main" id="{00000000-0008-0000-0900-000079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1" name="CaixaDeTexto 120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2" name="CaixaDeTexto 121">
              <a:extLst>
                <a:ext uri="{FF2B5EF4-FFF2-40B4-BE49-F238E27FC236}">
                  <a16:creationId xmlns:a16="http://schemas.microsoft.com/office/drawing/2014/main" id="{00000000-0008-0000-0900-00007A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2" name="CaixaDeTexto 121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3" name="CaixaDeTexto 122">
              <a:extLst>
                <a:ext uri="{FF2B5EF4-FFF2-40B4-BE49-F238E27FC236}">
                  <a16:creationId xmlns:a16="http://schemas.microsoft.com/office/drawing/2014/main" id="{00000000-0008-0000-0900-00007B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3" name="CaixaDeTexto 122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4" name="CaixaDeTexto 123">
              <a:extLst>
                <a:ext uri="{FF2B5EF4-FFF2-40B4-BE49-F238E27FC236}">
                  <a16:creationId xmlns:a16="http://schemas.microsoft.com/office/drawing/2014/main" id="{00000000-0008-0000-0900-00007C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4" name="CaixaDeTexto 123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5" name="CaixaDeTexto 124">
              <a:extLst>
                <a:ext uri="{FF2B5EF4-FFF2-40B4-BE49-F238E27FC236}">
                  <a16:creationId xmlns:a16="http://schemas.microsoft.com/office/drawing/2014/main" id="{00000000-0008-0000-0900-00007D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5" name="CaixaDeTexto 124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6" name="CaixaDeTexto 125">
              <a:extLst>
                <a:ext uri="{FF2B5EF4-FFF2-40B4-BE49-F238E27FC236}">
                  <a16:creationId xmlns:a16="http://schemas.microsoft.com/office/drawing/2014/main" id="{00000000-0008-0000-0900-00007E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6" name="CaixaDeTexto 125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7" name="CaixaDeTexto 126">
              <a:extLst>
                <a:ext uri="{FF2B5EF4-FFF2-40B4-BE49-F238E27FC236}">
                  <a16:creationId xmlns:a16="http://schemas.microsoft.com/office/drawing/2014/main" id="{00000000-0008-0000-0900-00007F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7" name="CaixaDeTexto 126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8" name="CaixaDeTexto 127">
              <a:extLst>
                <a:ext uri="{FF2B5EF4-FFF2-40B4-BE49-F238E27FC236}">
                  <a16:creationId xmlns:a16="http://schemas.microsoft.com/office/drawing/2014/main" id="{00000000-0008-0000-0900-000080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8" name="CaixaDeTexto 127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twoCellAnchor editAs="oneCell">
    <xdr:from>
      <xdr:col>0</xdr:col>
      <xdr:colOff>294409</xdr:colOff>
      <xdr:row>0</xdr:row>
      <xdr:rowOff>89189</xdr:rowOff>
    </xdr:from>
    <xdr:to>
      <xdr:col>1</xdr:col>
      <xdr:colOff>653762</xdr:colOff>
      <xdr:row>0</xdr:row>
      <xdr:rowOff>1047750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BF600489-CC9B-4D89-9981-5A2DCDF898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89"/>
          <a:ext cx="1045153" cy="9585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Comp05\p&#250;blica\Documents%20and%20Settings\loca&#231;&#227;o\Desktop\Marcelo\-%20Arquivo%20Arquivo\ZZ%20Boletins%20de%20medi&#231;&#227;o%20R1\Tail&#226;ndia%20R1%20Medicoes%20Revisadas\Documents%20and%20Settings\Computador\Meus%20documentos\Cl&#225;udio\Funda&#231;&#227;o\Drenagem.xls?1700CB8F" TargetMode="External"/><Relationship Id="rId1" Type="http://schemas.openxmlformats.org/officeDocument/2006/relationships/externalLinkPath" Target="file:///\\1700CB8F\Drenage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guesia1\1.engenharia\1.ENGENHARIA\4.Freguesia\Or&#231;amento%20de%20venda\Quantidades\Qtde%20FR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ELIADESK2\Scopus\orca_note\Scopus\822_Semin&#225;rio%20Maria%20Mater\822_Lev_Plan\822_Planilha%20QxPU_parci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PTISTA4\Rede\CONVENIOS\PM_URUAR&#193;\2020\4_CONSTRU&#199;&#195;O%20P&#199;A%20NOSSA%20TERRA_M.TURISMO-PRESTA&#199;&#195;O%20DE%20CONTAS%20APROVADA\00-%20LICITA&#199;&#195;O\01-%20EDITAL\01-%20ARQUIVOS%20EDITAVEIS\02-%20PLANILHA\MEM&#211;RIA%20DE%20C&#193;LCULO_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elia\clelia\Orcamento\HAQUI\001-VIG_FUND-AGO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o"/>
      <sheetName val="DRE - 01"/>
      <sheetName val="DRE - 02"/>
      <sheetName val="DRE - 03"/>
      <sheetName val="DRE - 04"/>
      <sheetName val="DRE - 05"/>
      <sheetName val="DRE - 06"/>
      <sheetName val="DRE - 07"/>
      <sheetName val="DRE - 08"/>
      <sheetName val="DRE - 09"/>
      <sheetName val="DRE - 10"/>
      <sheetName val="DRE - 11"/>
      <sheetName val="DRE - 12"/>
      <sheetName val="DRE - 13"/>
    </sheetNames>
    <sheetDataSet>
      <sheetData sheetId="0">
        <row r="4">
          <cell r="C4" t="str">
            <v>CÓDIGO</v>
          </cell>
          <cell r="D4" t="str">
            <v>ITEM</v>
          </cell>
          <cell r="E4" t="str">
            <v>DESCRIÇÃO DO INSUMO</v>
          </cell>
          <cell r="F4" t="str">
            <v>UNID.</v>
          </cell>
          <cell r="G4" t="str">
            <v>PÇO. UNIT.</v>
          </cell>
          <cell r="H4" t="str">
            <v>QTDE. CONTRATO</v>
          </cell>
        </row>
        <row r="5">
          <cell r="C5" t="str">
            <v>AD05050100</v>
          </cell>
          <cell r="D5">
            <v>1</v>
          </cell>
          <cell r="E5" t="str">
            <v>Ensaio de andensamento edométrico em solo.</v>
          </cell>
          <cell r="F5" t="str">
            <v>un</v>
          </cell>
          <cell r="G5">
            <v>509.17</v>
          </cell>
          <cell r="H5">
            <v>44</v>
          </cell>
        </row>
        <row r="6">
          <cell r="C6" t="str">
            <v>AD05050200</v>
          </cell>
          <cell r="D6">
            <v>2</v>
          </cell>
          <cell r="E6" t="str">
            <v>Ensaio de laboratorio da Densidade Real.</v>
          </cell>
          <cell r="F6" t="str">
            <v>un</v>
          </cell>
          <cell r="G6">
            <v>56.78</v>
          </cell>
          <cell r="H6">
            <v>29</v>
          </cell>
        </row>
        <row r="7">
          <cell r="C7" t="str">
            <v>AD05050250</v>
          </cell>
          <cell r="D7">
            <v>3</v>
          </cell>
          <cell r="E7" t="str">
            <v>Ensaio em laboratorio do Limite de Liquidez.</v>
          </cell>
          <cell r="F7" t="str">
            <v>un</v>
          </cell>
          <cell r="G7">
            <v>41.29</v>
          </cell>
          <cell r="H7">
            <v>14</v>
          </cell>
        </row>
        <row r="8">
          <cell r="C8" t="str">
            <v>AD05050300</v>
          </cell>
          <cell r="D8">
            <v>4</v>
          </cell>
          <cell r="E8" t="str">
            <v xml:space="preserve">Ensaio em laboratório do limite de plasticidade. </v>
          </cell>
          <cell r="F8" t="str">
            <v>un</v>
          </cell>
          <cell r="G8">
            <v>41.29</v>
          </cell>
          <cell r="H8">
            <v>14</v>
          </cell>
        </row>
        <row r="9">
          <cell r="C9" t="str">
            <v>AD05050350</v>
          </cell>
          <cell r="D9">
            <v>5</v>
          </cell>
          <cell r="E9" t="str">
            <v>Ensaio em laboratório, do Peso Especifico.</v>
          </cell>
          <cell r="F9" t="str">
            <v>un</v>
          </cell>
          <cell r="G9">
            <v>22.86</v>
          </cell>
          <cell r="H9">
            <v>29</v>
          </cell>
        </row>
        <row r="10">
          <cell r="C10" t="str">
            <v>AD05050450</v>
          </cell>
          <cell r="D10">
            <v>6</v>
          </cell>
          <cell r="E10" t="str">
            <v>Ensaio Índice de Suporte Califórnia - Proctor Normal.</v>
          </cell>
          <cell r="F10" t="str">
            <v>un</v>
          </cell>
          <cell r="G10">
            <v>414.42</v>
          </cell>
          <cell r="H10">
            <v>43</v>
          </cell>
        </row>
        <row r="11">
          <cell r="C11" t="str">
            <v>AD05050700</v>
          </cell>
          <cell r="D11">
            <v>7</v>
          </cell>
          <cell r="E11" t="str">
            <v>Sondagem manual com pa e picareta por metro.</v>
          </cell>
          <cell r="F11" t="str">
            <v>m</v>
          </cell>
          <cell r="G11">
            <v>56.78</v>
          </cell>
          <cell r="H11">
            <v>280</v>
          </cell>
        </row>
        <row r="12">
          <cell r="C12" t="str">
            <v>AD20050050</v>
          </cell>
          <cell r="D12">
            <v>8</v>
          </cell>
          <cell r="E12" t="str">
            <v>Barracão de obra com paredes de madeira.</v>
          </cell>
          <cell r="F12" t="str">
            <v>m2</v>
          </cell>
          <cell r="G12">
            <v>141.75</v>
          </cell>
          <cell r="H12">
            <v>250</v>
          </cell>
        </row>
        <row r="13">
          <cell r="C13" t="str">
            <v>AD20050300</v>
          </cell>
          <cell r="D13">
            <v>9</v>
          </cell>
          <cell r="E13" t="str">
            <v>Tapume de vedação ou proteção.</v>
          </cell>
          <cell r="F13" t="str">
            <v>m2</v>
          </cell>
          <cell r="G13">
            <v>19.16</v>
          </cell>
          <cell r="H13">
            <v>24000</v>
          </cell>
        </row>
        <row r="14">
          <cell r="C14" t="str">
            <v>AD20200050</v>
          </cell>
          <cell r="D14">
            <v>10</v>
          </cell>
          <cell r="E14" t="str">
            <v>Instalação e ligação provisórias de energia.</v>
          </cell>
          <cell r="F14" t="str">
            <v>un</v>
          </cell>
          <cell r="G14">
            <v>595.94000000000005</v>
          </cell>
          <cell r="H14">
            <v>2</v>
          </cell>
        </row>
        <row r="15">
          <cell r="C15" t="str">
            <v xml:space="preserve">AD40050056 </v>
          </cell>
          <cell r="D15">
            <v>11</v>
          </cell>
          <cell r="E15" t="str">
            <v xml:space="preserve">Almoxarife(inclusive encargos sociais). </v>
          </cell>
          <cell r="F15" t="str">
            <v>h</v>
          </cell>
          <cell r="G15">
            <v>6.48</v>
          </cell>
          <cell r="H15">
            <v>1480</v>
          </cell>
        </row>
        <row r="16">
          <cell r="C16" t="str">
            <v>AD40050068</v>
          </cell>
          <cell r="D16">
            <v>12</v>
          </cell>
          <cell r="E16" t="str">
            <v>Apontador(inclusive encargos sociais).</v>
          </cell>
          <cell r="F16" t="str">
            <v>h</v>
          </cell>
          <cell r="G16">
            <v>6.48</v>
          </cell>
          <cell r="H16">
            <v>1480</v>
          </cell>
        </row>
        <row r="17">
          <cell r="C17" t="str">
            <v>AD40050074</v>
          </cell>
          <cell r="D17">
            <v>13</v>
          </cell>
          <cell r="E17" t="str">
            <v>Auxiliar de almoxarife(inclusive encargos sociais).</v>
          </cell>
          <cell r="F17" t="str">
            <v>h</v>
          </cell>
          <cell r="G17">
            <v>4.41</v>
          </cell>
          <cell r="H17">
            <v>1480</v>
          </cell>
        </row>
        <row r="18">
          <cell r="C18" t="str">
            <v>AD40050080</v>
          </cell>
          <cell r="D18">
            <v>14</v>
          </cell>
          <cell r="E18" t="str">
            <v>Auxiliar de escritório(inclusive encargos sociais).</v>
          </cell>
          <cell r="F18" t="str">
            <v>h</v>
          </cell>
          <cell r="G18">
            <v>5.32</v>
          </cell>
          <cell r="H18">
            <v>1480</v>
          </cell>
        </row>
        <row r="19">
          <cell r="C19" t="str">
            <v>AD40050086</v>
          </cell>
          <cell r="D19">
            <v>15</v>
          </cell>
          <cell r="E19" t="str">
            <v>Auxiliar técnico(inclusive encargos sociais).</v>
          </cell>
          <cell r="F19" t="str">
            <v>h</v>
          </cell>
          <cell r="G19">
            <v>8.1</v>
          </cell>
          <cell r="H19">
            <v>1480</v>
          </cell>
        </row>
        <row r="20">
          <cell r="C20" t="str">
            <v>AD40050092</v>
          </cell>
          <cell r="D20">
            <v>16</v>
          </cell>
          <cell r="E20" t="str">
            <v xml:space="preserve">Auxiliar de topografia(inclusive encargos sociais).     </v>
          </cell>
          <cell r="F20" t="str">
            <v>h</v>
          </cell>
          <cell r="G20">
            <v>4.5</v>
          </cell>
          <cell r="H20">
            <v>1480</v>
          </cell>
        </row>
        <row r="21">
          <cell r="C21" t="str">
            <v>AD40050098</v>
          </cell>
          <cell r="D21">
            <v>17</v>
          </cell>
          <cell r="E21" t="str">
            <v xml:space="preserve">Chefe de escritório(inclusive encargos sociais). </v>
          </cell>
          <cell r="F21" t="str">
            <v>h</v>
          </cell>
          <cell r="G21">
            <v>13.02</v>
          </cell>
          <cell r="H21">
            <v>1480</v>
          </cell>
        </row>
        <row r="22">
          <cell r="C22" t="str">
            <v>AD40050116</v>
          </cell>
          <cell r="D22">
            <v>18</v>
          </cell>
          <cell r="E22" t="str">
            <v>Encarregado(inclusive encargos sociais).</v>
          </cell>
          <cell r="F22" t="str">
            <v>h</v>
          </cell>
          <cell r="G22">
            <v>8.3699999999999992</v>
          </cell>
          <cell r="H22">
            <v>2960</v>
          </cell>
        </row>
        <row r="23">
          <cell r="C23" t="str">
            <v xml:space="preserve"> AD40050122</v>
          </cell>
          <cell r="D23">
            <v>19</v>
          </cell>
          <cell r="E23" t="str">
            <v>Engenheiro ou arquiteto jr(inclusive encargos sociais).</v>
          </cell>
          <cell r="F23" t="str">
            <v>h</v>
          </cell>
          <cell r="G23">
            <v>21.39</v>
          </cell>
          <cell r="H23">
            <v>1480</v>
          </cell>
        </row>
        <row r="24">
          <cell r="C24" t="str">
            <v>AD40050134</v>
          </cell>
          <cell r="D24">
            <v>20</v>
          </cell>
          <cell r="E24" t="str">
            <v xml:space="preserve">Engenheiro sênior(inclusive encargos sociais).  </v>
          </cell>
          <cell r="F24" t="str">
            <v>h</v>
          </cell>
          <cell r="G24">
            <v>54.35</v>
          </cell>
          <cell r="H24">
            <v>1110</v>
          </cell>
        </row>
        <row r="25">
          <cell r="C25" t="str">
            <v>AD40050146</v>
          </cell>
          <cell r="D25">
            <v>21</v>
          </cell>
          <cell r="E25" t="str">
            <v xml:space="preserve">Estagiário(inclusive encargos sociais).  </v>
          </cell>
          <cell r="F25" t="str">
            <v>h</v>
          </cell>
          <cell r="G25">
            <v>2.76</v>
          </cell>
          <cell r="H25">
            <v>2960</v>
          </cell>
        </row>
        <row r="26">
          <cell r="C26" t="str">
            <v>AD40050188</v>
          </cell>
          <cell r="D26">
            <v>22</v>
          </cell>
          <cell r="E26" t="str">
            <v>Secretaria(inclusive encargos sociais).</v>
          </cell>
          <cell r="F26" t="str">
            <v>h</v>
          </cell>
          <cell r="G26">
            <v>9.24</v>
          </cell>
          <cell r="H26">
            <v>1480</v>
          </cell>
        </row>
        <row r="27">
          <cell r="C27" t="str">
            <v>AD40050200</v>
          </cell>
          <cell r="D27">
            <v>23</v>
          </cell>
          <cell r="E27" t="str">
            <v xml:space="preserve">Supervisor de trafego(inclusive encargos sociais).    </v>
          </cell>
          <cell r="F27" t="str">
            <v>h</v>
          </cell>
          <cell r="G27">
            <v>29.17</v>
          </cell>
          <cell r="H27">
            <v>2960</v>
          </cell>
        </row>
        <row r="28">
          <cell r="C28" t="str">
            <v>AD40050212</v>
          </cell>
          <cell r="D28">
            <v>24</v>
          </cell>
          <cell r="E28" t="str">
            <v xml:space="preserve">Topógrafo A(inclusive encargos sociais).  </v>
          </cell>
          <cell r="F28" t="str">
            <v>h</v>
          </cell>
          <cell r="G28">
            <v>13.78</v>
          </cell>
          <cell r="H28">
            <v>740</v>
          </cell>
        </row>
        <row r="29">
          <cell r="C29" t="str">
            <v>AD40050218</v>
          </cell>
          <cell r="D29">
            <v>25</v>
          </cell>
          <cell r="E29" t="str">
            <v>Vigia(inclusive encargos sociais).</v>
          </cell>
          <cell r="F29" t="str">
            <v>h</v>
          </cell>
          <cell r="G29">
            <v>4.63</v>
          </cell>
          <cell r="H29">
            <v>2960</v>
          </cell>
        </row>
        <row r="30">
          <cell r="C30" t="str">
            <v xml:space="preserve"> AD10050050</v>
          </cell>
          <cell r="D30">
            <v>26</v>
          </cell>
          <cell r="E30" t="str">
            <v>Marcação de obra sem instrumento topográfico.</v>
          </cell>
          <cell r="F30" t="str">
            <v>m2</v>
          </cell>
          <cell r="G30">
            <v>0.95</v>
          </cell>
          <cell r="H30">
            <v>400</v>
          </cell>
        </row>
        <row r="31">
          <cell r="C31" t="str">
            <v>AD10100100</v>
          </cell>
          <cell r="D31">
            <v>27</v>
          </cell>
          <cell r="E31" t="str">
            <v>Locação de obra com aparelho topográfico.</v>
          </cell>
          <cell r="F31" t="str">
            <v>m</v>
          </cell>
          <cell r="G31">
            <v>6.75</v>
          </cell>
          <cell r="H31">
            <v>410</v>
          </cell>
        </row>
        <row r="32">
          <cell r="C32" t="str">
            <v>AD15150750</v>
          </cell>
          <cell r="D32">
            <v>28</v>
          </cell>
          <cell r="E32" t="str">
            <v>Veiculo motor 1.0 a gasolina sem motorista.</v>
          </cell>
          <cell r="F32" t="str">
            <v>mês</v>
          </cell>
          <cell r="G32">
            <v>1269.6600000000001</v>
          </cell>
          <cell r="H32">
            <v>8</v>
          </cell>
        </row>
        <row r="33">
          <cell r="C33" t="str">
            <v>AD20250050</v>
          </cell>
          <cell r="D33">
            <v>29</v>
          </cell>
          <cell r="E33" t="str">
            <v>Barragem de bloqueio, reaproveitamento 40 vezes.</v>
          </cell>
          <cell r="F33" t="str">
            <v>m</v>
          </cell>
          <cell r="G33">
            <v>0.98</v>
          </cell>
          <cell r="H33">
            <v>970</v>
          </cell>
        </row>
        <row r="34">
          <cell r="C34" t="str">
            <v>AD20250100</v>
          </cell>
          <cell r="D34">
            <v>30</v>
          </cell>
          <cell r="E34" t="str">
            <v>Barragem de bloqueio de obra, colocação e retirada.</v>
          </cell>
          <cell r="F34" t="str">
            <v>m</v>
          </cell>
          <cell r="G34">
            <v>3.26</v>
          </cell>
          <cell r="H34">
            <v>4200</v>
          </cell>
        </row>
        <row r="35">
          <cell r="C35" t="str">
            <v>AD20250200</v>
          </cell>
          <cell r="D35">
            <v>31</v>
          </cell>
          <cell r="E35" t="str">
            <v>Placa de sinalização para obra de via publica.</v>
          </cell>
          <cell r="F35" t="str">
            <v>un</v>
          </cell>
          <cell r="G35">
            <v>37.67</v>
          </cell>
          <cell r="H35">
            <v>43</v>
          </cell>
        </row>
        <row r="36">
          <cell r="C36" t="str">
            <v>AD20250250</v>
          </cell>
          <cell r="D36">
            <v>32</v>
          </cell>
          <cell r="E36" t="str">
            <v>Placa de sinalização para obra, colocação e retirada.</v>
          </cell>
          <cell r="F36" t="str">
            <v>un</v>
          </cell>
          <cell r="G36">
            <v>0.89</v>
          </cell>
          <cell r="H36">
            <v>173</v>
          </cell>
        </row>
        <row r="37">
          <cell r="C37" t="str">
            <v>AD20250300</v>
          </cell>
          <cell r="D37">
            <v>33</v>
          </cell>
          <cell r="E37" t="str">
            <v>Placa de identificação de obra publica.</v>
          </cell>
          <cell r="F37" t="str">
            <v>m2</v>
          </cell>
          <cell r="G37">
            <v>166.66</v>
          </cell>
          <cell r="H37">
            <v>22.4</v>
          </cell>
        </row>
        <row r="38">
          <cell r="C38" t="str">
            <v>AD25050050</v>
          </cell>
          <cell r="D38">
            <v>34</v>
          </cell>
          <cell r="E38" t="str">
            <v>Aluguel de balizador vaga-lume.</v>
          </cell>
          <cell r="F38" t="str">
            <v>mês</v>
          </cell>
          <cell r="G38">
            <v>86.83</v>
          </cell>
          <cell r="H38">
            <v>960</v>
          </cell>
        </row>
        <row r="39">
          <cell r="C39" t="str">
            <v xml:space="preserve">AD25050200/  </v>
          </cell>
          <cell r="D39">
            <v>35</v>
          </cell>
          <cell r="E39" t="str">
            <v>Aluguel de cavalete plástico universa.</v>
          </cell>
          <cell r="F39" t="str">
            <v>un.mês</v>
          </cell>
          <cell r="G39">
            <v>86.83</v>
          </cell>
          <cell r="H39">
            <v>600</v>
          </cell>
        </row>
        <row r="40">
          <cell r="C40" t="str">
            <v>AD25050250</v>
          </cell>
          <cell r="D40">
            <v>36</v>
          </cell>
          <cell r="E40" t="str">
            <v>Aluguel de cone canalizador empinhavel T-Topde.</v>
          </cell>
          <cell r="F40" t="str">
            <v>un.mês</v>
          </cell>
          <cell r="G40">
            <v>32.29</v>
          </cell>
          <cell r="H40">
            <v>600</v>
          </cell>
        </row>
        <row r="41">
          <cell r="C41" t="str">
            <v>AD35150050A</v>
          </cell>
          <cell r="D41">
            <v>37</v>
          </cell>
          <cell r="E41" t="str">
            <v>Controle tecnológico de obras em concreto armado.</v>
          </cell>
          <cell r="F41" t="str">
            <v>m3</v>
          </cell>
          <cell r="G41">
            <v>12.32</v>
          </cell>
          <cell r="H41">
            <v>382</v>
          </cell>
        </row>
        <row r="42">
          <cell r="C42" t="str">
            <v xml:space="preserve">SE25100100A  </v>
          </cell>
          <cell r="D42">
            <v>38</v>
          </cell>
          <cell r="E42" t="str">
            <v>Projeto executivo para urbanização/reurbanização.</v>
          </cell>
          <cell r="F42" t="str">
            <v>há</v>
          </cell>
          <cell r="G42">
            <v>34610.160000000003</v>
          </cell>
          <cell r="H42">
            <v>5.18</v>
          </cell>
        </row>
        <row r="43">
          <cell r="C43" t="str">
            <v>SE20100050</v>
          </cell>
          <cell r="D43">
            <v>39</v>
          </cell>
          <cell r="E43" t="str">
            <v>Lançamento de linha poligonal básica.</v>
          </cell>
          <cell r="F43" t="str">
            <v>Km</v>
          </cell>
          <cell r="G43">
            <v>159.44</v>
          </cell>
          <cell r="H43">
            <v>1</v>
          </cell>
        </row>
        <row r="44">
          <cell r="C44" t="str">
            <v>SE20102500A</v>
          </cell>
          <cell r="D44">
            <v>40</v>
          </cell>
          <cell r="E44" t="str">
            <v>Nivelamento de eixo de logradouro.</v>
          </cell>
          <cell r="F44" t="str">
            <v>Km</v>
          </cell>
          <cell r="G44">
            <v>74.489999999999995</v>
          </cell>
          <cell r="H44">
            <v>1</v>
          </cell>
        </row>
        <row r="45">
          <cell r="C45" t="str">
            <v>SE20150050</v>
          </cell>
          <cell r="D45">
            <v>41</v>
          </cell>
          <cell r="E45" t="str">
            <v>Levantamento fotográfico de aspecto de área urbana.</v>
          </cell>
          <cell r="F45" t="str">
            <v>un</v>
          </cell>
          <cell r="G45">
            <v>1.8</v>
          </cell>
          <cell r="H45">
            <v>259</v>
          </cell>
        </row>
        <row r="46">
          <cell r="C46" t="str">
            <v>SE20150250</v>
          </cell>
          <cell r="D46">
            <v>42</v>
          </cell>
          <cell r="E46" t="str">
            <v>Levantamento fotográfico aéreo vertical de área urbana.</v>
          </cell>
          <cell r="F46" t="str">
            <v>conj</v>
          </cell>
          <cell r="G46">
            <v>8267.76</v>
          </cell>
          <cell r="H46">
            <v>1</v>
          </cell>
        </row>
        <row r="47">
          <cell r="C47" t="str">
            <v>SE20101600</v>
          </cell>
          <cell r="D47">
            <v>43</v>
          </cell>
          <cell r="E47" t="str">
            <v>Levantamento cadastral das profundidades de tubos.</v>
          </cell>
          <cell r="F47" t="str">
            <v>un</v>
          </cell>
          <cell r="G47">
            <v>23.05</v>
          </cell>
          <cell r="H47">
            <v>137</v>
          </cell>
        </row>
        <row r="48">
          <cell r="C48" t="str">
            <v>SE30050100</v>
          </cell>
          <cell r="D48">
            <v>44</v>
          </cell>
          <cell r="E48" t="str">
            <v>Determinação da deformação com Viga Benkelmann.</v>
          </cell>
          <cell r="F48" t="str">
            <v>un</v>
          </cell>
          <cell r="G48">
            <v>53.9</v>
          </cell>
          <cell r="H48">
            <v>144</v>
          </cell>
        </row>
        <row r="49">
          <cell r="C49" t="str">
            <v>CE05100110</v>
          </cell>
          <cell r="D49">
            <v>45</v>
          </cell>
          <cell r="E49" t="str">
            <v>Consultor de serviços técnicos especializados.</v>
          </cell>
          <cell r="F49" t="str">
            <v>h</v>
          </cell>
          <cell r="G49">
            <v>89.23</v>
          </cell>
          <cell r="H49">
            <v>726</v>
          </cell>
        </row>
        <row r="50">
          <cell r="C50" t="str">
            <v>CO05050500</v>
          </cell>
          <cell r="D50">
            <v>46</v>
          </cell>
          <cell r="E50" t="str">
            <v>Plataforma ou passarela de Pinho.</v>
          </cell>
          <cell r="F50" t="str">
            <v>m2</v>
          </cell>
          <cell r="G50">
            <v>2.31</v>
          </cell>
          <cell r="H50">
            <v>187</v>
          </cell>
        </row>
        <row r="51">
          <cell r="C51" t="str">
            <v>CO05100050</v>
          </cell>
          <cell r="D51">
            <v>47</v>
          </cell>
          <cell r="E51" t="str">
            <v>Aluguel de andaime tubular sobre sapatas fixas.</v>
          </cell>
          <cell r="F51" t="str">
            <v>m2.mês</v>
          </cell>
          <cell r="G51">
            <v>2.2000000000000002</v>
          </cell>
          <cell r="H51">
            <v>2100</v>
          </cell>
        </row>
        <row r="52">
          <cell r="C52" t="str">
            <v>CO05150100</v>
          </cell>
          <cell r="D52">
            <v>48</v>
          </cell>
          <cell r="E52" t="str">
            <v>Montagem e desmontagem de andaime tubular.</v>
          </cell>
          <cell r="F52" t="str">
            <v>m2</v>
          </cell>
          <cell r="G52">
            <v>1.77</v>
          </cell>
          <cell r="H52">
            <v>350</v>
          </cell>
        </row>
        <row r="53">
          <cell r="C53" t="str">
            <v>CO05150300</v>
          </cell>
          <cell r="D53">
            <v>49</v>
          </cell>
          <cell r="E53" t="str">
            <v>Movimentação vertical ou horizontal de plataforma.</v>
          </cell>
          <cell r="F53" t="str">
            <v>m2</v>
          </cell>
          <cell r="G53">
            <v>0.14000000000000001</v>
          </cell>
          <cell r="H53">
            <v>350</v>
          </cell>
        </row>
        <row r="54">
          <cell r="C54" t="str">
            <v>MT05300100</v>
          </cell>
          <cell r="D54">
            <v>50</v>
          </cell>
          <cell r="E54" t="str">
            <v>Escavação manual em material de 1a categoria.</v>
          </cell>
          <cell r="F54" t="str">
            <v>m3</v>
          </cell>
          <cell r="G54">
            <v>12.4</v>
          </cell>
          <cell r="H54">
            <v>10700</v>
          </cell>
        </row>
        <row r="55">
          <cell r="C55" t="str">
            <v>MT10050050</v>
          </cell>
          <cell r="D55">
            <v>51</v>
          </cell>
          <cell r="E55" t="str">
            <v xml:space="preserve">Escavação mecânica, utilizando Retro-Escavadeira. </v>
          </cell>
          <cell r="F55" t="str">
            <v>m3</v>
          </cell>
          <cell r="G55">
            <v>2.77</v>
          </cell>
          <cell r="H55">
            <v>36800</v>
          </cell>
        </row>
        <row r="56">
          <cell r="C56" t="str">
            <v>MT10100050</v>
          </cell>
          <cell r="D56">
            <v>52</v>
          </cell>
          <cell r="E56" t="str">
            <v>Escavação mecânica, utilizando Escavadeira.</v>
          </cell>
          <cell r="F56" t="str">
            <v>m3</v>
          </cell>
          <cell r="G56">
            <v>0.96</v>
          </cell>
          <cell r="H56">
            <v>7300</v>
          </cell>
        </row>
        <row r="57">
          <cell r="C57" t="str">
            <v>MT15050250</v>
          </cell>
          <cell r="D57">
            <v>53</v>
          </cell>
          <cell r="E57" t="str">
            <v xml:space="preserve">Reaterro de vala com material de boa qualidade. </v>
          </cell>
          <cell r="F57" t="str">
            <v>m3</v>
          </cell>
          <cell r="G57">
            <v>9.3000000000000007</v>
          </cell>
          <cell r="H57">
            <v>13700</v>
          </cell>
        </row>
        <row r="58">
          <cell r="C58" t="str">
            <v>MT15050300</v>
          </cell>
          <cell r="D58">
            <v>54</v>
          </cell>
          <cell r="E58" t="str">
            <v>Reaterro de vala, com po-de-pedra.</v>
          </cell>
          <cell r="F58" t="str">
            <v>m3</v>
          </cell>
          <cell r="G58">
            <v>36.18</v>
          </cell>
          <cell r="H58">
            <v>19600</v>
          </cell>
        </row>
        <row r="59">
          <cell r="C59" t="str">
            <v>MT05250050</v>
          </cell>
          <cell r="D59">
            <v>55</v>
          </cell>
          <cell r="E59" t="str">
            <v>Desmonte manual de bloco de 3a categoria.</v>
          </cell>
          <cell r="F59" t="str">
            <v>m3</v>
          </cell>
          <cell r="G59">
            <v>32.14</v>
          </cell>
          <cell r="H59">
            <v>7050</v>
          </cell>
        </row>
        <row r="60">
          <cell r="C60" t="str">
            <v>MT05450050</v>
          </cell>
          <cell r="D60">
            <v>56</v>
          </cell>
          <cell r="E60" t="str">
            <v>Desmonte a fogo de bloco de material de 3a categoria.</v>
          </cell>
          <cell r="F60" t="str">
            <v>m3</v>
          </cell>
          <cell r="G60">
            <v>66.56</v>
          </cell>
          <cell r="H60">
            <v>8545</v>
          </cell>
        </row>
        <row r="61">
          <cell r="C61" t="str">
            <v>MT15150050</v>
          </cell>
          <cell r="D61">
            <v>57</v>
          </cell>
          <cell r="E61" t="str">
            <v>Preparo de solo ate 30cm de profundidade.</v>
          </cell>
          <cell r="F61" t="str">
            <v>m2</v>
          </cell>
          <cell r="G61">
            <v>5.46</v>
          </cell>
          <cell r="H61">
            <v>17842</v>
          </cell>
        </row>
        <row r="62">
          <cell r="C62" t="str">
            <v>MT20050050</v>
          </cell>
          <cell r="D62">
            <v>58</v>
          </cell>
          <cell r="E62" t="str">
            <v>Espalhamento de material de 1a categoria.</v>
          </cell>
          <cell r="F62" t="str">
            <v>m3</v>
          </cell>
          <cell r="G62">
            <v>0.24</v>
          </cell>
          <cell r="H62">
            <v>70776</v>
          </cell>
        </row>
        <row r="63">
          <cell r="C63" t="str">
            <v>TC05050350</v>
          </cell>
          <cell r="D63">
            <v>59</v>
          </cell>
          <cell r="E63" t="str">
            <v>Transporte de carga de qualquer natureza.</v>
          </cell>
          <cell r="F63" t="str">
            <v>t.Km</v>
          </cell>
          <cell r="G63">
            <v>0.39</v>
          </cell>
          <cell r="H63">
            <v>1880000</v>
          </cell>
        </row>
        <row r="64">
          <cell r="C64" t="str">
            <v>TC10050150</v>
          </cell>
          <cell r="D64">
            <v>60</v>
          </cell>
          <cell r="E64" t="str">
            <v>Carga manual e descarga mecânica.</v>
          </cell>
          <cell r="F64" t="str">
            <v>t</v>
          </cell>
          <cell r="G64">
            <v>7.38</v>
          </cell>
          <cell r="H64">
            <v>47000</v>
          </cell>
        </row>
        <row r="65">
          <cell r="C65" t="str">
            <v>EQ05050100A</v>
          </cell>
          <cell r="D65">
            <v>61</v>
          </cell>
          <cell r="E65" t="str">
            <v xml:space="preserve">Caminhão basculante. Custo horário produtivo.     </v>
          </cell>
          <cell r="F65" t="str">
            <v>h</v>
          </cell>
          <cell r="G65">
            <v>45.34</v>
          </cell>
          <cell r="H65">
            <v>2446</v>
          </cell>
        </row>
        <row r="66">
          <cell r="C66" t="str">
            <v>EQ05050103A</v>
          </cell>
          <cell r="D66">
            <v>62</v>
          </cell>
          <cell r="E66" t="str">
            <v>Caminhão basculante. Custo horário improdutivo.</v>
          </cell>
          <cell r="F66" t="str">
            <v>h</v>
          </cell>
          <cell r="G66">
            <v>25.39</v>
          </cell>
          <cell r="H66">
            <v>432</v>
          </cell>
        </row>
        <row r="67">
          <cell r="C67" t="str">
            <v>EQ05050300</v>
          </cell>
          <cell r="D67">
            <v>63</v>
          </cell>
          <cell r="E67" t="str">
            <v>Caminhão com Carroceria Fixa. Aluguel produtivo.</v>
          </cell>
          <cell r="F67" t="str">
            <v>h</v>
          </cell>
          <cell r="G67">
            <v>32.28</v>
          </cell>
          <cell r="H67">
            <v>1957</v>
          </cell>
        </row>
        <row r="68">
          <cell r="C68" t="str">
            <v>EQ05050306</v>
          </cell>
          <cell r="D68">
            <v>64</v>
          </cell>
          <cell r="E68" t="str">
            <v>Caminhão com Carroceria Fixa. Aluguel improdutivo.</v>
          </cell>
          <cell r="F68" t="str">
            <v>h</v>
          </cell>
          <cell r="G68">
            <v>8.5399999999999991</v>
          </cell>
          <cell r="H68">
            <v>346</v>
          </cell>
        </row>
        <row r="69">
          <cell r="C69" t="str">
            <v>EQ05050415</v>
          </cell>
          <cell r="D69">
            <v>65</v>
          </cell>
          <cell r="E69" t="str">
            <v xml:space="preserve">Caminhão Carroceria Fixa F-12000 Munck produtivo.               </v>
          </cell>
          <cell r="F69" t="str">
            <v>h</v>
          </cell>
          <cell r="G69">
            <v>53.72</v>
          </cell>
          <cell r="H69">
            <v>3453</v>
          </cell>
        </row>
        <row r="70">
          <cell r="C70" t="str">
            <v>EQ15050450</v>
          </cell>
          <cell r="D70">
            <v>66</v>
          </cell>
          <cell r="E70" t="str">
            <v xml:space="preserve">Pa-carregadeira(Carregador frontal). Custo produtivo.  </v>
          </cell>
          <cell r="F70" t="str">
            <v>h</v>
          </cell>
          <cell r="G70">
            <v>68.34</v>
          </cell>
          <cell r="H70">
            <v>1345</v>
          </cell>
        </row>
        <row r="71">
          <cell r="C71" t="str">
            <v>EQ15050453</v>
          </cell>
          <cell r="D71">
            <v>67</v>
          </cell>
          <cell r="E71" t="str">
            <v>Pa-carregadeira(Carregador Frontal).Custo improdutivo.</v>
          </cell>
          <cell r="F71" t="str">
            <v>h</v>
          </cell>
          <cell r="G71">
            <v>31.05</v>
          </cell>
          <cell r="H71">
            <v>237</v>
          </cell>
        </row>
        <row r="72">
          <cell r="C72" t="str">
            <v>EQ15050500</v>
          </cell>
          <cell r="D72">
            <v>68</v>
          </cell>
          <cell r="E72" t="str">
            <v xml:space="preserve">Retro-Escavadeira/carregadeira. Custo produtivo. </v>
          </cell>
          <cell r="F72" t="str">
            <v>h</v>
          </cell>
          <cell r="G72">
            <v>45.49</v>
          </cell>
          <cell r="H72">
            <v>1439</v>
          </cell>
        </row>
        <row r="73">
          <cell r="C73" t="str">
            <v>EQ30050200</v>
          </cell>
          <cell r="D73">
            <v>69</v>
          </cell>
          <cell r="E73" t="str">
            <v>Betoneira com capacidade de 580l, Aluguel produtivo.</v>
          </cell>
          <cell r="F73" t="str">
            <v>h</v>
          </cell>
          <cell r="G73">
            <v>4.71</v>
          </cell>
          <cell r="H73">
            <v>2041</v>
          </cell>
        </row>
        <row r="74">
          <cell r="C74" t="str">
            <v>EQ30050206</v>
          </cell>
          <cell r="D74">
            <v>70</v>
          </cell>
          <cell r="E74" t="str">
            <v>Betoneira com capacidade de 580l Aluguel improdutivo.</v>
          </cell>
          <cell r="F74" t="str">
            <v>h</v>
          </cell>
          <cell r="G74">
            <v>1.56</v>
          </cell>
          <cell r="H74">
            <v>216</v>
          </cell>
        </row>
        <row r="75">
          <cell r="C75" t="str">
            <v>EQ15050550</v>
          </cell>
          <cell r="D75">
            <v>71</v>
          </cell>
          <cell r="E75" t="str">
            <v xml:space="preserve">Rompedor Pneumático de 32,6Kg Aluguel produtivo. </v>
          </cell>
          <cell r="F75" t="str">
            <v>h</v>
          </cell>
          <cell r="G75">
            <v>1.05</v>
          </cell>
          <cell r="H75">
            <v>648</v>
          </cell>
        </row>
        <row r="76">
          <cell r="C76" t="str">
            <v>EQ15050556</v>
          </cell>
          <cell r="D76">
            <v>72</v>
          </cell>
          <cell r="E76" t="str">
            <v>Rompedor Pneumático de 32,6Kg Aluguel improdutivo.</v>
          </cell>
          <cell r="F76" t="str">
            <v>h</v>
          </cell>
          <cell r="G76">
            <v>0.7</v>
          </cell>
          <cell r="H76">
            <v>72</v>
          </cell>
        </row>
        <row r="77">
          <cell r="C77" t="str">
            <v xml:space="preserve"> EQ20050800</v>
          </cell>
          <cell r="D77">
            <v>73</v>
          </cell>
          <cell r="E77" t="str">
            <v xml:space="preserve">Vassoura Mecânica, rebocável, Aluguel produtivo.   </v>
          </cell>
          <cell r="F77" t="str">
            <v>h</v>
          </cell>
          <cell r="G77">
            <v>3.58</v>
          </cell>
          <cell r="H77">
            <v>1712</v>
          </cell>
        </row>
        <row r="78">
          <cell r="C78" t="str">
            <v>EQ20050806</v>
          </cell>
          <cell r="D78">
            <v>74</v>
          </cell>
          <cell r="E78" t="str">
            <v>Vassoura Mecânica, rebocável, Aluguel improdutivo.</v>
          </cell>
          <cell r="F78" t="str">
            <v>h</v>
          </cell>
          <cell r="G78">
            <v>1.43</v>
          </cell>
          <cell r="H78">
            <v>216</v>
          </cell>
        </row>
        <row r="79">
          <cell r="C79" t="str">
            <v>EQ35100200</v>
          </cell>
          <cell r="D79">
            <v>75</v>
          </cell>
          <cell r="E79" t="str">
            <v xml:space="preserve">Bomba Centrífuga Submersível. Aluguel produtivo.    </v>
          </cell>
          <cell r="F79" t="str">
            <v>h</v>
          </cell>
          <cell r="G79">
            <v>3.6</v>
          </cell>
          <cell r="H79">
            <v>8632</v>
          </cell>
        </row>
        <row r="80">
          <cell r="C80" t="str">
            <v>EQ35100203</v>
          </cell>
          <cell r="D80">
            <v>76</v>
          </cell>
          <cell r="E80" t="str">
            <v>Bomba Centrífuga Submersível. Aluguel improdutivo.</v>
          </cell>
          <cell r="F80" t="str">
            <v>h</v>
          </cell>
          <cell r="G80">
            <v>1.4</v>
          </cell>
          <cell r="H80">
            <v>863</v>
          </cell>
        </row>
        <row r="81">
          <cell r="C81" t="str">
            <v>EQ45050159</v>
          </cell>
          <cell r="D81">
            <v>77</v>
          </cell>
          <cell r="E81" t="str">
            <v>Compressor de ar. Aluguel improdutivo.</v>
          </cell>
          <cell r="F81" t="str">
            <v>h</v>
          </cell>
          <cell r="G81">
            <v>3.64</v>
          </cell>
          <cell r="H81">
            <v>72</v>
          </cell>
        </row>
        <row r="82">
          <cell r="C82" t="str">
            <v>EQ45150100</v>
          </cell>
          <cell r="D82">
            <v>78</v>
          </cell>
          <cell r="E82" t="str">
            <v>Retificador de solda elétrica de 430A.</v>
          </cell>
          <cell r="F82" t="str">
            <v>h</v>
          </cell>
          <cell r="G82">
            <v>7.16</v>
          </cell>
          <cell r="H82">
            <v>1007</v>
          </cell>
        </row>
        <row r="83">
          <cell r="C83" t="str">
            <v>EQ40050150A</v>
          </cell>
          <cell r="D83">
            <v>79</v>
          </cell>
          <cell r="E83" t="str">
            <v>Equipamento de jato d'água (Sewer-Jet ou similar).</v>
          </cell>
          <cell r="F83" t="str">
            <v>h</v>
          </cell>
          <cell r="G83">
            <v>79.2</v>
          </cell>
          <cell r="H83">
            <v>1079</v>
          </cell>
        </row>
        <row r="84">
          <cell r="C84" t="str">
            <v>EQ40050153A</v>
          </cell>
          <cell r="D84">
            <v>80</v>
          </cell>
          <cell r="E84" t="str">
            <v>Equipamento de alta pressão  (Vac-All ou similar).</v>
          </cell>
          <cell r="F84" t="str">
            <v>h</v>
          </cell>
          <cell r="G84">
            <v>104.07</v>
          </cell>
          <cell r="H84">
            <v>1942</v>
          </cell>
        </row>
        <row r="85">
          <cell r="C85" t="str">
            <v>SC05050050</v>
          </cell>
          <cell r="D85">
            <v>81</v>
          </cell>
          <cell r="E85" t="str">
            <v>Arrancamento de aparelhos de iluminação.</v>
          </cell>
          <cell r="F85" t="str">
            <v>un</v>
          </cell>
          <cell r="G85">
            <v>1.67</v>
          </cell>
          <cell r="H85">
            <v>65</v>
          </cell>
        </row>
        <row r="86">
          <cell r="C86" t="str">
            <v>SC05050200</v>
          </cell>
          <cell r="D86">
            <v>82</v>
          </cell>
          <cell r="E86" t="str">
            <v>Arrancamento de grades, gradis, alambrados, cercas.</v>
          </cell>
          <cell r="F86" t="str">
            <v>m2</v>
          </cell>
          <cell r="G86">
            <v>4.43</v>
          </cell>
          <cell r="H86">
            <v>144</v>
          </cell>
        </row>
        <row r="87">
          <cell r="C87" t="str">
            <v>SC05050250</v>
          </cell>
          <cell r="D87">
            <v>83</v>
          </cell>
          <cell r="E87" t="str">
            <v>Arrancamento de meios-fios, de granito ou concreto.</v>
          </cell>
          <cell r="F87" t="str">
            <v>m</v>
          </cell>
          <cell r="G87">
            <v>4.87</v>
          </cell>
          <cell r="H87">
            <v>3739</v>
          </cell>
        </row>
        <row r="88">
          <cell r="C88" t="str">
            <v>SC05050300</v>
          </cell>
          <cell r="D88">
            <v>84</v>
          </cell>
          <cell r="E88" t="str">
            <v>Arrancamento de paralelepípedos.</v>
          </cell>
          <cell r="F88" t="str">
            <v>m2</v>
          </cell>
          <cell r="G88">
            <v>2.21</v>
          </cell>
          <cell r="H88">
            <v>860</v>
          </cell>
        </row>
        <row r="89">
          <cell r="C89" t="str">
            <v>SC05050500</v>
          </cell>
          <cell r="D89">
            <v>85</v>
          </cell>
          <cell r="E89" t="str">
            <v>Arrancamento tubos concreto manilhas ø 0,40 a 0,60m.</v>
          </cell>
          <cell r="F89" t="str">
            <v>m</v>
          </cell>
          <cell r="G89">
            <v>3.99</v>
          </cell>
          <cell r="H89">
            <v>328</v>
          </cell>
        </row>
        <row r="90">
          <cell r="C90" t="str">
            <v>SC05050601</v>
          </cell>
          <cell r="D90">
            <v>86</v>
          </cell>
          <cell r="E90" t="str">
            <v>Demolição manual de alvenaria de pedra argamassada.</v>
          </cell>
          <cell r="F90" t="str">
            <v>m3</v>
          </cell>
          <cell r="G90">
            <v>30.27</v>
          </cell>
          <cell r="H90">
            <v>324</v>
          </cell>
        </row>
        <row r="91">
          <cell r="C91" t="str">
            <v>SC05050750</v>
          </cell>
          <cell r="D91">
            <v>87</v>
          </cell>
          <cell r="E91" t="str">
            <v>Demolição manual de alvenaria de tijolos maciços.</v>
          </cell>
          <cell r="F91" t="str">
            <v>m3</v>
          </cell>
          <cell r="G91">
            <v>52.99</v>
          </cell>
          <cell r="H91">
            <v>130</v>
          </cell>
        </row>
        <row r="92">
          <cell r="C92" t="str">
            <v>SC05050850</v>
          </cell>
          <cell r="D92">
            <v>88</v>
          </cell>
          <cell r="E92" t="str">
            <v>Demolição manual de concreto simples.</v>
          </cell>
          <cell r="F92" t="str">
            <v>m3</v>
          </cell>
          <cell r="G92">
            <v>60.55</v>
          </cell>
          <cell r="H92">
            <v>1904</v>
          </cell>
        </row>
        <row r="93">
          <cell r="C93" t="str">
            <v>SC05050950</v>
          </cell>
          <cell r="D93">
            <v>89</v>
          </cell>
          <cell r="E93" t="str">
            <v>Demolição manual de concreto armado.</v>
          </cell>
          <cell r="F93" t="str">
            <v>m3</v>
          </cell>
          <cell r="G93">
            <v>85.78</v>
          </cell>
          <cell r="H93">
            <v>140</v>
          </cell>
        </row>
        <row r="94">
          <cell r="C94" t="str">
            <v>SC05051400</v>
          </cell>
          <cell r="D94">
            <v>90</v>
          </cell>
          <cell r="E94" t="str">
            <v>Demolição de revestimento em argamassa.</v>
          </cell>
          <cell r="F94" t="str">
            <v>m2</v>
          </cell>
          <cell r="G94">
            <v>2.21</v>
          </cell>
          <cell r="H94">
            <v>144</v>
          </cell>
        </row>
        <row r="95">
          <cell r="C95" t="str">
            <v>SC05051450</v>
          </cell>
          <cell r="D95">
            <v>91</v>
          </cell>
          <cell r="E95" t="str">
            <v>Demolição de revestimento em azulejos, cerâmicas.</v>
          </cell>
          <cell r="F95" t="str">
            <v>m2</v>
          </cell>
          <cell r="G95">
            <v>5.31</v>
          </cell>
          <cell r="H95">
            <v>130</v>
          </cell>
        </row>
        <row r="96">
          <cell r="C96" t="str">
            <v>SC05052150</v>
          </cell>
          <cell r="D96">
            <v>92</v>
          </cell>
          <cell r="E96" t="str">
            <v>Remoção de cobertura de telha francesa.</v>
          </cell>
          <cell r="F96" t="str">
            <v>m2</v>
          </cell>
          <cell r="G96">
            <v>8.26</v>
          </cell>
          <cell r="H96">
            <v>260</v>
          </cell>
        </row>
        <row r="97">
          <cell r="C97" t="str">
            <v>SC05052450</v>
          </cell>
          <cell r="D97">
            <v>93</v>
          </cell>
          <cell r="E97" t="str">
            <v>Remoção de cobertura de telha de fibro-cimento.</v>
          </cell>
          <cell r="F97" t="str">
            <v>m2</v>
          </cell>
          <cell r="G97">
            <v>3.87</v>
          </cell>
          <cell r="H97">
            <v>460</v>
          </cell>
        </row>
        <row r="98">
          <cell r="C98" t="str">
            <v>SC05052900</v>
          </cell>
          <cell r="D98">
            <v>94</v>
          </cell>
          <cell r="E98" t="str">
            <v xml:space="preserve">Remoção manual de passeio de pedra portuguesa. </v>
          </cell>
          <cell r="F98" t="str">
            <v>m2</v>
          </cell>
          <cell r="G98">
            <v>2.44</v>
          </cell>
          <cell r="H98">
            <v>2900</v>
          </cell>
        </row>
        <row r="99">
          <cell r="C99" t="str">
            <v>SC05053250</v>
          </cell>
          <cell r="D99">
            <v>95</v>
          </cell>
          <cell r="E99" t="str">
            <v>Remoção de tubulação ferro fundido ø50mm a 300mm.</v>
          </cell>
          <cell r="F99" t="str">
            <v>m</v>
          </cell>
          <cell r="G99">
            <v>11.88</v>
          </cell>
          <cell r="H99">
            <v>290</v>
          </cell>
        </row>
        <row r="100">
          <cell r="C100" t="str">
            <v>SC05100150</v>
          </cell>
          <cell r="D100">
            <v>96</v>
          </cell>
          <cell r="E100" t="str">
            <v>Demolição, com equipamento, concreto simples.</v>
          </cell>
          <cell r="F100" t="str">
            <v>m3</v>
          </cell>
          <cell r="G100">
            <v>43.52</v>
          </cell>
          <cell r="H100">
            <v>2160</v>
          </cell>
        </row>
        <row r="101">
          <cell r="C101" t="str">
            <v>SC05100300</v>
          </cell>
          <cell r="D101">
            <v>97</v>
          </cell>
          <cell r="E101" t="str">
            <v>Demolição, com equipamento concreto armado.</v>
          </cell>
          <cell r="F101" t="str">
            <v>m3</v>
          </cell>
          <cell r="G101">
            <v>73.98</v>
          </cell>
          <cell r="H101">
            <v>3400</v>
          </cell>
        </row>
        <row r="102">
          <cell r="C102" t="str">
            <v>SC05100500</v>
          </cell>
          <cell r="D102">
            <v>98</v>
          </cell>
          <cell r="E102" t="str">
            <v>Demolição com equipamento concreto asfáltico 10cm.</v>
          </cell>
          <cell r="F102" t="str">
            <v>m2</v>
          </cell>
          <cell r="G102">
            <v>8.98</v>
          </cell>
          <cell r="H102">
            <v>20100</v>
          </cell>
        </row>
        <row r="103">
          <cell r="C103" t="str">
            <v>SC10050250</v>
          </cell>
          <cell r="D103">
            <v>99</v>
          </cell>
          <cell r="E103" t="str">
            <v xml:space="preserve">Bombeiro hidráulico (inclusive encargos sociais).   </v>
          </cell>
          <cell r="F103" t="str">
            <v>h</v>
          </cell>
          <cell r="G103">
            <v>6.48</v>
          </cell>
          <cell r="H103">
            <v>2960</v>
          </cell>
        </row>
        <row r="104">
          <cell r="C104" t="str">
            <v>SC10050300</v>
          </cell>
          <cell r="D104">
            <v>100</v>
          </cell>
          <cell r="E104" t="str">
            <v xml:space="preserve">Calceteiro (inclusive encargos sociais).   </v>
          </cell>
          <cell r="F104" t="str">
            <v>h</v>
          </cell>
          <cell r="G104">
            <v>5.99</v>
          </cell>
          <cell r="H104">
            <v>1480</v>
          </cell>
        </row>
        <row r="105">
          <cell r="C105" t="str">
            <v>SC10050350</v>
          </cell>
          <cell r="D105">
            <v>101</v>
          </cell>
          <cell r="E105" t="str">
            <v>Carpinteiro de forma (inclusive encargos sociais).</v>
          </cell>
          <cell r="F105" t="str">
            <v>h</v>
          </cell>
          <cell r="G105">
            <v>5.99</v>
          </cell>
          <cell r="H105">
            <v>1480</v>
          </cell>
        </row>
        <row r="106">
          <cell r="C106" t="str">
            <v>SC10050450</v>
          </cell>
          <cell r="D106">
            <v>102</v>
          </cell>
          <cell r="E106" t="str">
            <v xml:space="preserve">Eletricista (inclusive encargos sociais). </v>
          </cell>
          <cell r="F106" t="str">
            <v>h</v>
          </cell>
          <cell r="G106">
            <v>6.48</v>
          </cell>
          <cell r="H106">
            <v>2960</v>
          </cell>
        </row>
        <row r="107">
          <cell r="C107" t="str">
            <v>SC10050900</v>
          </cell>
          <cell r="D107">
            <v>103</v>
          </cell>
          <cell r="E107" t="str">
            <v xml:space="preserve">Marteleteiro (inclusive encargos sociais). </v>
          </cell>
          <cell r="F107" t="str">
            <v>h</v>
          </cell>
          <cell r="G107">
            <v>5.99</v>
          </cell>
          <cell r="H107">
            <v>2960</v>
          </cell>
        </row>
        <row r="108">
          <cell r="C108" t="str">
            <v>SC10051100</v>
          </cell>
          <cell r="D108">
            <v>104</v>
          </cell>
          <cell r="E108" t="str">
            <v>Operador de máquinas.(inclusive encargos sociais).</v>
          </cell>
          <cell r="F108" t="str">
            <v>h</v>
          </cell>
          <cell r="G108">
            <v>6.48</v>
          </cell>
          <cell r="H108">
            <v>1480</v>
          </cell>
        </row>
        <row r="109">
          <cell r="C109" t="str">
            <v>SC10051200</v>
          </cell>
          <cell r="D109">
            <v>105</v>
          </cell>
          <cell r="E109" t="str">
            <v xml:space="preserve">Pedreiro (inclusive encargos sociais).   </v>
          </cell>
          <cell r="F109" t="str">
            <v>h</v>
          </cell>
          <cell r="G109">
            <v>5.99</v>
          </cell>
          <cell r="H109">
            <v>2960</v>
          </cell>
        </row>
        <row r="110">
          <cell r="C110" t="str">
            <v>SC10051450</v>
          </cell>
          <cell r="D110">
            <v>106</v>
          </cell>
          <cell r="E110" t="str">
            <v>Servente (inclusive encargos sociais).</v>
          </cell>
          <cell r="F110" t="str">
            <v>h</v>
          </cell>
          <cell r="G110">
            <v>4.3</v>
          </cell>
          <cell r="H110">
            <v>5920</v>
          </cell>
        </row>
        <row r="111">
          <cell r="C111" t="str">
            <v>SC10051500</v>
          </cell>
          <cell r="D111">
            <v>107</v>
          </cell>
          <cell r="E111" t="str">
            <v>Soldador em construção civil (inclusive encargos).</v>
          </cell>
          <cell r="F111" t="str">
            <v>h</v>
          </cell>
          <cell r="G111">
            <v>6.23</v>
          </cell>
          <cell r="H111">
            <v>1480</v>
          </cell>
        </row>
        <row r="112">
          <cell r="C112" t="str">
            <v>SC10100050</v>
          </cell>
          <cell r="D112">
            <v>108</v>
          </cell>
          <cell r="E112" t="str">
            <v xml:space="preserve">Operador de tráfego(inclusive encargos sociais). </v>
          </cell>
          <cell r="F112" t="str">
            <v>h</v>
          </cell>
          <cell r="G112">
            <v>7.08</v>
          </cell>
          <cell r="H112">
            <v>2960</v>
          </cell>
        </row>
        <row r="113">
          <cell r="C113" t="str">
            <v>SC05100050</v>
          </cell>
          <cell r="D113">
            <v>109</v>
          </cell>
          <cell r="E113" t="str">
            <v>Arrancamento de tampão de ferro fundido.</v>
          </cell>
          <cell r="F113" t="str">
            <v>un</v>
          </cell>
          <cell r="G113">
            <v>15.18</v>
          </cell>
          <cell r="H113">
            <v>22</v>
          </cell>
        </row>
        <row r="114">
          <cell r="C114" t="str">
            <v>SC15050100</v>
          </cell>
          <cell r="D114">
            <v>110</v>
          </cell>
          <cell r="E114" t="str">
            <v>Aditivo de reciclagem para mistura asfáltica a quente.</v>
          </cell>
          <cell r="F114" t="str">
            <v>t</v>
          </cell>
          <cell r="G114">
            <v>2857.32</v>
          </cell>
          <cell r="H114">
            <v>15</v>
          </cell>
        </row>
        <row r="115">
          <cell r="C115" t="str">
            <v>SC15050150</v>
          </cell>
          <cell r="D115">
            <v>111</v>
          </cell>
          <cell r="E115" t="str">
            <v>Areia grossa lavada. Fornecimento.</v>
          </cell>
          <cell r="F115" t="str">
            <v>m3</v>
          </cell>
          <cell r="G115">
            <v>21</v>
          </cell>
          <cell r="H115">
            <v>2000</v>
          </cell>
        </row>
        <row r="116">
          <cell r="C116" t="str">
            <v>SC15050200</v>
          </cell>
          <cell r="D116">
            <v>112</v>
          </cell>
          <cell r="E116" t="str">
            <v>Asfalto diluído tipo cura rápida CR-250</v>
          </cell>
          <cell r="F116" t="str">
            <v>t</v>
          </cell>
          <cell r="G116">
            <v>1468.02</v>
          </cell>
          <cell r="H116">
            <v>7</v>
          </cell>
        </row>
        <row r="117">
          <cell r="C117" t="str">
            <v>SC15050550</v>
          </cell>
          <cell r="D117">
            <v>113</v>
          </cell>
          <cell r="E117" t="str">
            <v xml:space="preserve">Saibro, inclusive transporte ate 20Km.Fornecimento. </v>
          </cell>
          <cell r="F117" t="str">
            <v>m3</v>
          </cell>
          <cell r="G117">
            <v>20.63</v>
          </cell>
          <cell r="H117">
            <v>184</v>
          </cell>
        </row>
        <row r="118">
          <cell r="C118" t="str">
            <v>SC15100050</v>
          </cell>
          <cell r="D118">
            <v>114</v>
          </cell>
          <cell r="E118" t="str">
            <v>Chapa de aço de 3/4"para passagem de veículos.</v>
          </cell>
          <cell r="F118" t="str">
            <v>m2</v>
          </cell>
          <cell r="G118">
            <v>17.100000000000001</v>
          </cell>
          <cell r="H118">
            <v>360</v>
          </cell>
        </row>
        <row r="119">
          <cell r="C119" t="str">
            <v>SC35050050A</v>
          </cell>
          <cell r="D119">
            <v>115</v>
          </cell>
          <cell r="E119" t="str">
            <v>Levantamento ou rebaixamento de tampão na rua.</v>
          </cell>
          <cell r="F119" t="str">
            <v>un</v>
          </cell>
          <cell r="G119">
            <v>86.15</v>
          </cell>
          <cell r="H119">
            <v>169</v>
          </cell>
        </row>
        <row r="120">
          <cell r="C120" t="str">
            <v>SC45050150</v>
          </cell>
          <cell r="D120">
            <v>116</v>
          </cell>
          <cell r="E120" t="str">
            <v>Toten informativo nas dimensões de (0,50x1,50)m.</v>
          </cell>
          <cell r="F120" t="str">
            <v>un</v>
          </cell>
          <cell r="G120">
            <v>2490</v>
          </cell>
          <cell r="H120">
            <v>29</v>
          </cell>
        </row>
        <row r="121">
          <cell r="C121" t="str">
            <v>SC45100200</v>
          </cell>
          <cell r="D121">
            <v>117</v>
          </cell>
          <cell r="E121" t="str">
            <v>Placa de inauguração em bronze.</v>
          </cell>
          <cell r="F121" t="str">
            <v>un</v>
          </cell>
          <cell r="G121">
            <v>1003.36</v>
          </cell>
          <cell r="H121">
            <v>1</v>
          </cell>
        </row>
        <row r="122">
          <cell r="C122" t="str">
            <v>FD05400100</v>
          </cell>
          <cell r="D122">
            <v>118</v>
          </cell>
          <cell r="E122" t="str">
            <v>Arrasamento de estaca concreto armado, ø40 a 50cm.</v>
          </cell>
          <cell r="F122" t="str">
            <v>un</v>
          </cell>
          <cell r="G122">
            <v>103.03</v>
          </cell>
          <cell r="H122">
            <v>23</v>
          </cell>
        </row>
        <row r="123">
          <cell r="C123" t="str">
            <v>FD05500050</v>
          </cell>
          <cell r="D123">
            <v>119</v>
          </cell>
          <cell r="E123" t="str">
            <v>Estaca raiz com diâmetro de 12", perfurada em solo.</v>
          </cell>
          <cell r="F123" t="str">
            <v>m</v>
          </cell>
          <cell r="G123">
            <v>248.49</v>
          </cell>
          <cell r="H123">
            <v>260</v>
          </cell>
        </row>
        <row r="124">
          <cell r="C124" t="str">
            <v>FD05650150</v>
          </cell>
          <cell r="D124">
            <v>120</v>
          </cell>
          <cell r="E124" t="str">
            <v>Estaca raiz com diâmetro de 10", perfurada em solo.</v>
          </cell>
          <cell r="F124" t="str">
            <v>m</v>
          </cell>
          <cell r="G124">
            <v>130</v>
          </cell>
          <cell r="H124">
            <v>86</v>
          </cell>
        </row>
        <row r="125">
          <cell r="C125" t="str">
            <v>FD10050100</v>
          </cell>
          <cell r="D125">
            <v>121</v>
          </cell>
          <cell r="E125" t="str">
            <v>Ensecadeira de estacas-prancha de aço, tipo Armco.</v>
          </cell>
          <cell r="F125" t="str">
            <v>m2</v>
          </cell>
          <cell r="G125">
            <v>127.53</v>
          </cell>
          <cell r="H125">
            <v>4200</v>
          </cell>
        </row>
        <row r="126">
          <cell r="C126" t="str">
            <v>FD10100050</v>
          </cell>
          <cell r="D126">
            <v>122</v>
          </cell>
          <cell r="E126" t="str">
            <v>Ensecadeira de estacas-prancha em Maçaranduba.</v>
          </cell>
          <cell r="F126" t="str">
            <v>m2</v>
          </cell>
          <cell r="G126">
            <v>70.5</v>
          </cell>
          <cell r="H126">
            <v>2395</v>
          </cell>
        </row>
        <row r="127">
          <cell r="C127" t="str">
            <v>ET15100100</v>
          </cell>
          <cell r="D127">
            <v>123</v>
          </cell>
          <cell r="E127" t="str">
            <v>Formas de madeira peças de concreto armado.</v>
          </cell>
          <cell r="F127" t="str">
            <v>m2</v>
          </cell>
          <cell r="G127">
            <v>25.9</v>
          </cell>
          <cell r="H127">
            <v>2986</v>
          </cell>
        </row>
        <row r="128">
          <cell r="C128" t="str">
            <v>ET15100200</v>
          </cell>
          <cell r="D128">
            <v>124</v>
          </cell>
          <cell r="E128" t="str">
            <v>Formas de madeira.</v>
          </cell>
          <cell r="F128" t="str">
            <v>m2</v>
          </cell>
          <cell r="G128">
            <v>34.86</v>
          </cell>
          <cell r="H128">
            <v>4352</v>
          </cell>
        </row>
        <row r="129">
          <cell r="C129" t="str">
            <v>ET15100250</v>
          </cell>
          <cell r="D129">
            <v>125</v>
          </cell>
          <cell r="E129" t="str">
            <v>Formas de madeira.</v>
          </cell>
          <cell r="F129" t="str">
            <v>m2</v>
          </cell>
          <cell r="G129">
            <v>29.62</v>
          </cell>
          <cell r="H129">
            <v>4406</v>
          </cell>
        </row>
        <row r="130">
          <cell r="C130" t="str">
            <v>ET20300050</v>
          </cell>
          <cell r="D130">
            <v>126</v>
          </cell>
          <cell r="E130" t="str">
            <v>Escoramento de formas.</v>
          </cell>
          <cell r="F130" t="str">
            <v>m2</v>
          </cell>
          <cell r="G130">
            <v>11.18</v>
          </cell>
          <cell r="H130">
            <v>3090</v>
          </cell>
        </row>
        <row r="131">
          <cell r="C131" t="str">
            <v>ET10050100</v>
          </cell>
          <cell r="D131">
            <v>127</v>
          </cell>
          <cell r="E131" t="str">
            <v>Aço CA-50 diâmetro de 6,3mm.</v>
          </cell>
          <cell r="F131" t="str">
            <v>kg</v>
          </cell>
          <cell r="G131">
            <v>2.64</v>
          </cell>
          <cell r="H131">
            <v>4750</v>
          </cell>
        </row>
        <row r="132">
          <cell r="C132" t="str">
            <v>ET10050103</v>
          </cell>
          <cell r="D132">
            <v>128</v>
          </cell>
          <cell r="E132" t="str">
            <v>Aço CA-50 diâmetro de 8mm.</v>
          </cell>
          <cell r="F132" t="str">
            <v>kg</v>
          </cell>
          <cell r="G132">
            <v>2.46</v>
          </cell>
          <cell r="H132">
            <v>1250</v>
          </cell>
        </row>
        <row r="133">
          <cell r="C133" t="str">
            <v>ET10050106</v>
          </cell>
          <cell r="D133">
            <v>129</v>
          </cell>
          <cell r="E133" t="str">
            <v>Aço CA-50 diâmetro de 10mm.</v>
          </cell>
          <cell r="F133" t="str">
            <v>kg</v>
          </cell>
          <cell r="G133">
            <v>2.2000000000000002</v>
          </cell>
          <cell r="H133">
            <v>7950</v>
          </cell>
        </row>
        <row r="134">
          <cell r="C134" t="str">
            <v>ET10050109</v>
          </cell>
          <cell r="D134">
            <v>130</v>
          </cell>
          <cell r="E134" t="str">
            <v>Aço CA-50 diâmetro de 12,5mm.</v>
          </cell>
          <cell r="F134" t="str">
            <v>kg</v>
          </cell>
          <cell r="G134">
            <v>2.1800000000000002</v>
          </cell>
          <cell r="H134">
            <v>5400</v>
          </cell>
        </row>
        <row r="135">
          <cell r="C135" t="str">
            <v>ET10050112</v>
          </cell>
          <cell r="D135">
            <v>131</v>
          </cell>
          <cell r="E135" t="str">
            <v>Aço CA-50 diâmetro de 16mm.</v>
          </cell>
          <cell r="F135" t="str">
            <v>kg</v>
          </cell>
          <cell r="G135">
            <v>2.1800000000000002</v>
          </cell>
          <cell r="H135">
            <v>2700</v>
          </cell>
        </row>
        <row r="136">
          <cell r="C136" t="str">
            <v>ET10050118</v>
          </cell>
          <cell r="D136">
            <v>132</v>
          </cell>
          <cell r="E136" t="str">
            <v>Aço CA-50 diâmetro de 25mm.</v>
          </cell>
          <cell r="F136" t="str">
            <v>kg</v>
          </cell>
          <cell r="G136">
            <v>2.19</v>
          </cell>
          <cell r="H136">
            <v>1400</v>
          </cell>
        </row>
        <row r="137">
          <cell r="C137" t="str">
            <v>ET10100056</v>
          </cell>
          <cell r="D137">
            <v>133</v>
          </cell>
          <cell r="E137" t="str">
            <v>Corte, dobragem, montagem aço CA-50 ø 6,3mm.</v>
          </cell>
          <cell r="F137" t="str">
            <v>kg</v>
          </cell>
          <cell r="G137">
            <v>1.28</v>
          </cell>
          <cell r="H137">
            <v>4750</v>
          </cell>
        </row>
        <row r="138">
          <cell r="C138" t="str">
            <v>ET10100062</v>
          </cell>
          <cell r="D138">
            <v>134</v>
          </cell>
          <cell r="E138" t="str">
            <v>Corte, dobragem, montagem aço CA-50 ø 12,5mm.</v>
          </cell>
          <cell r="F138" t="str">
            <v>kg</v>
          </cell>
          <cell r="G138">
            <v>0.96</v>
          </cell>
          <cell r="H138">
            <v>9450</v>
          </cell>
        </row>
        <row r="139">
          <cell r="C139" t="str">
            <v>ET10100065</v>
          </cell>
          <cell r="D139">
            <v>135</v>
          </cell>
          <cell r="E139" t="str">
            <v>Corte, dobragem, montagem aço CA-50 ø 6,3 a 12,5mm.</v>
          </cell>
          <cell r="F139" t="str">
            <v>kg</v>
          </cell>
          <cell r="G139">
            <v>1.1100000000000001</v>
          </cell>
          <cell r="H139">
            <v>13950</v>
          </cell>
        </row>
        <row r="140">
          <cell r="C140" t="str">
            <v>ET05250653</v>
          </cell>
          <cell r="D140">
            <v>136</v>
          </cell>
          <cell r="E140" t="str">
            <v>Lançamento de concreto.</v>
          </cell>
          <cell r="F140" t="str">
            <v>m3</v>
          </cell>
          <cell r="G140">
            <v>22.57</v>
          </cell>
          <cell r="H140">
            <v>187</v>
          </cell>
        </row>
        <row r="141">
          <cell r="C141" t="str">
            <v>ET45100071</v>
          </cell>
          <cell r="D141">
            <v>137</v>
          </cell>
          <cell r="E141" t="str">
            <v>Concreto bombeado usinado fck=30MPa.</v>
          </cell>
          <cell r="F141" t="str">
            <v>m3</v>
          </cell>
          <cell r="G141">
            <v>297.16000000000003</v>
          </cell>
          <cell r="H141">
            <v>195</v>
          </cell>
        </row>
        <row r="142">
          <cell r="C142" t="str">
            <v>ET60050059</v>
          </cell>
          <cell r="D142">
            <v>138</v>
          </cell>
          <cell r="E142" t="str">
            <v>Concreto usinado de 18MPa.</v>
          </cell>
          <cell r="F142" t="str">
            <v>m3</v>
          </cell>
          <cell r="G142">
            <v>185.77</v>
          </cell>
          <cell r="H142">
            <v>187</v>
          </cell>
        </row>
        <row r="143">
          <cell r="C143" t="str">
            <v>ET25050300</v>
          </cell>
          <cell r="D143">
            <v>139</v>
          </cell>
          <cell r="E143" t="str">
            <v>Fornecimento e montagem de estruturas metálicas.</v>
          </cell>
          <cell r="F143" t="str">
            <v>t</v>
          </cell>
          <cell r="G143">
            <v>7186.39</v>
          </cell>
          <cell r="H143">
            <v>36</v>
          </cell>
        </row>
        <row r="144">
          <cell r="C144" t="str">
            <v>ET25050450</v>
          </cell>
          <cell r="D144">
            <v>140</v>
          </cell>
          <cell r="E144" t="str">
            <v>Peças em chapa de aço 3/8", galvanizadas.</v>
          </cell>
          <cell r="F144" t="str">
            <v>Kg</v>
          </cell>
          <cell r="G144">
            <v>3.99</v>
          </cell>
          <cell r="H144">
            <v>2166</v>
          </cell>
        </row>
        <row r="145">
          <cell r="C145" t="str">
            <v>ET25050453</v>
          </cell>
          <cell r="D145">
            <v>141</v>
          </cell>
          <cell r="E145" t="str">
            <v>Peças em chapa de aço 3/8", galvanizadas.</v>
          </cell>
          <cell r="F145" t="str">
            <v>Kg</v>
          </cell>
          <cell r="G145">
            <v>4.26</v>
          </cell>
          <cell r="H145">
            <v>2078</v>
          </cell>
        </row>
        <row r="146">
          <cell r="C146" t="str">
            <v>ET25050456</v>
          </cell>
          <cell r="D146">
            <v>142</v>
          </cell>
          <cell r="E146" t="str">
            <v>Peças em chapa de aço 3/8", galvanizadas.</v>
          </cell>
          <cell r="F146" t="str">
            <v>Kg</v>
          </cell>
          <cell r="G146">
            <v>4.16</v>
          </cell>
          <cell r="H146">
            <v>1820</v>
          </cell>
        </row>
        <row r="147">
          <cell r="C147" t="str">
            <v>ET50050250</v>
          </cell>
          <cell r="D147">
            <v>143</v>
          </cell>
          <cell r="E147" t="str">
            <v>Muro de contenção em solo reforçado.</v>
          </cell>
          <cell r="F147" t="str">
            <v>m2</v>
          </cell>
          <cell r="G147">
            <v>145.63</v>
          </cell>
          <cell r="H147">
            <v>144</v>
          </cell>
        </row>
        <row r="148">
          <cell r="C148" t="str">
            <v>ET55100100</v>
          </cell>
          <cell r="D148">
            <v>144</v>
          </cell>
          <cell r="E148" t="str">
            <v>Canal pré-fabricado, em concreto armado seção U.</v>
          </cell>
          <cell r="F148" t="str">
            <v>m2</v>
          </cell>
          <cell r="G148">
            <v>384.26</v>
          </cell>
          <cell r="H148">
            <v>86</v>
          </cell>
        </row>
        <row r="149">
          <cell r="C149" t="str">
            <v>ET55100150</v>
          </cell>
          <cell r="D149">
            <v>145</v>
          </cell>
          <cell r="E149" t="str">
            <v>Cobertura de canal pré-fabricado em concreto armado.</v>
          </cell>
          <cell r="F149" t="str">
            <v>m2</v>
          </cell>
          <cell r="G149">
            <v>435.06</v>
          </cell>
          <cell r="H149">
            <v>58</v>
          </cell>
        </row>
        <row r="150">
          <cell r="C150" t="str">
            <v>ES05250359</v>
          </cell>
          <cell r="D150">
            <v>146</v>
          </cell>
          <cell r="E150" t="str">
            <v>Gradil em tubo de ferro galvanizado de 1 1/4".</v>
          </cell>
          <cell r="F150" t="str">
            <v>m</v>
          </cell>
          <cell r="G150">
            <v>338.32</v>
          </cell>
          <cell r="H150">
            <v>144</v>
          </cell>
        </row>
        <row r="151">
          <cell r="C151" t="str">
            <v>ES10250150</v>
          </cell>
          <cell r="D151">
            <v>147</v>
          </cell>
          <cell r="E151" t="str">
            <v xml:space="preserve">Peça em Angelim ou similar, de 2"x1".Fornecimento. </v>
          </cell>
          <cell r="F151" t="str">
            <v>m</v>
          </cell>
          <cell r="G151">
            <v>2.14</v>
          </cell>
          <cell r="H151">
            <v>150</v>
          </cell>
        </row>
        <row r="152">
          <cell r="C152" t="str">
            <v>ES10250200</v>
          </cell>
          <cell r="D152">
            <v>148</v>
          </cell>
          <cell r="E152" t="str">
            <v xml:space="preserve">Peça em Ipê ou similar, de 2"x8".  Fornecimento.    </v>
          </cell>
          <cell r="F152" t="str">
            <v>m</v>
          </cell>
          <cell r="G152">
            <v>30.26</v>
          </cell>
          <cell r="H152">
            <v>200</v>
          </cell>
        </row>
        <row r="153">
          <cell r="C153" t="str">
            <v>ES10250262</v>
          </cell>
          <cell r="D153">
            <v>149</v>
          </cell>
          <cell r="E153" t="str">
            <v>Peça em Maçaranduba ou similar, serrada, de 3"x6".</v>
          </cell>
          <cell r="F153" t="str">
            <v>m</v>
          </cell>
          <cell r="G153">
            <v>8.66</v>
          </cell>
          <cell r="H153">
            <v>100</v>
          </cell>
        </row>
        <row r="154">
          <cell r="C154" t="str">
            <v>ES99990050</v>
          </cell>
          <cell r="D154">
            <v>150</v>
          </cell>
          <cell r="E154" t="str">
            <v>Arruela de 5/16", inclusive transporte até a obra.</v>
          </cell>
          <cell r="F154" t="str">
            <v>un</v>
          </cell>
          <cell r="G154">
            <v>0.02</v>
          </cell>
          <cell r="H154">
            <v>863</v>
          </cell>
        </row>
        <row r="155">
          <cell r="C155" t="str">
            <v>ES99990700</v>
          </cell>
          <cell r="D155">
            <v>151</v>
          </cell>
          <cell r="E155" t="str">
            <v>Parafuso de (8x250)mm.</v>
          </cell>
          <cell r="F155" t="str">
            <v>un</v>
          </cell>
          <cell r="G155">
            <v>0.78</v>
          </cell>
          <cell r="H155">
            <v>863</v>
          </cell>
        </row>
        <row r="156">
          <cell r="C156" t="str">
            <v>ES99990800</v>
          </cell>
          <cell r="D156">
            <v>152</v>
          </cell>
          <cell r="E156" t="str">
            <v>Porca de 5/16", inclusive transporte até a obra.</v>
          </cell>
          <cell r="F156" t="str">
            <v>un</v>
          </cell>
          <cell r="G156">
            <v>0.04</v>
          </cell>
          <cell r="H156">
            <v>863</v>
          </cell>
        </row>
        <row r="157">
          <cell r="C157" t="str">
            <v>ES99990900</v>
          </cell>
          <cell r="D157">
            <v>153</v>
          </cell>
          <cell r="E157" t="str">
            <v>Prego com cabeça chata 23x54, em caixa de 100Kg.</v>
          </cell>
          <cell r="F157" t="str">
            <v>Kg</v>
          </cell>
          <cell r="G157">
            <v>3.01</v>
          </cell>
          <cell r="H157">
            <v>332</v>
          </cell>
        </row>
        <row r="158">
          <cell r="C158" t="str">
            <v>IT25100112</v>
          </cell>
          <cell r="D158">
            <v>154</v>
          </cell>
          <cell r="E158" t="str">
            <v>Kanalex diâmetro de 50mm (2" ).</v>
          </cell>
          <cell r="F158" t="str">
            <v>m</v>
          </cell>
          <cell r="G158">
            <v>4.55</v>
          </cell>
          <cell r="H158">
            <v>356</v>
          </cell>
        </row>
        <row r="159">
          <cell r="C159" t="str">
            <v>IT25100115</v>
          </cell>
          <cell r="D159">
            <v>155</v>
          </cell>
          <cell r="E159" t="str">
            <v>Kanalex diâmetro de 75mm (3" ).</v>
          </cell>
          <cell r="F159" t="str">
            <v>m</v>
          </cell>
          <cell r="G159">
            <v>5.98</v>
          </cell>
          <cell r="H159">
            <v>1766</v>
          </cell>
        </row>
        <row r="160">
          <cell r="C160" t="str">
            <v>IT25100118</v>
          </cell>
          <cell r="D160">
            <v>156</v>
          </cell>
          <cell r="E160" t="str">
            <v>Kanalex diâmetro de 100mm (4" ).</v>
          </cell>
          <cell r="F160" t="str">
            <v>m</v>
          </cell>
          <cell r="G160">
            <v>7.02</v>
          </cell>
          <cell r="H160">
            <v>2554</v>
          </cell>
        </row>
        <row r="161">
          <cell r="C161" t="str">
            <v>IT25100159</v>
          </cell>
          <cell r="D161">
            <v>157</v>
          </cell>
          <cell r="E161" t="str">
            <v>Linha dupla de Kanalex diâmetro de 75mm (3" ).</v>
          </cell>
          <cell r="F161" t="str">
            <v>m</v>
          </cell>
          <cell r="G161">
            <v>10.52</v>
          </cell>
          <cell r="H161">
            <v>3705</v>
          </cell>
        </row>
        <row r="162">
          <cell r="C162" t="str">
            <v>IT25100162</v>
          </cell>
          <cell r="D162">
            <v>158</v>
          </cell>
          <cell r="E162" t="str">
            <v>Linha dupla de Kanalex diâmetro de 100mm (4" ).</v>
          </cell>
          <cell r="F162" t="str">
            <v>m</v>
          </cell>
          <cell r="G162">
            <v>21.87</v>
          </cell>
          <cell r="H162">
            <v>6000</v>
          </cell>
        </row>
        <row r="163">
          <cell r="C163" t="str">
            <v xml:space="preserve"> IT25100165</v>
          </cell>
          <cell r="D163">
            <v>159</v>
          </cell>
          <cell r="E163" t="str">
            <v>Linha dupla de Kanalex diâmetro de 125mm (5" ).</v>
          </cell>
          <cell r="F163" t="str">
            <v>m</v>
          </cell>
          <cell r="G163">
            <v>29.6</v>
          </cell>
          <cell r="H163">
            <v>4000</v>
          </cell>
        </row>
        <row r="164">
          <cell r="C164" t="str">
            <v xml:space="preserve"> IT25340321</v>
          </cell>
          <cell r="D164">
            <v>160</v>
          </cell>
          <cell r="E164" t="str">
            <v>Cabo de cobre rígido, seção de 35mm2 XLPE.</v>
          </cell>
          <cell r="F164" t="str">
            <v>m</v>
          </cell>
          <cell r="G164">
            <v>11.38</v>
          </cell>
          <cell r="H164">
            <v>2842</v>
          </cell>
        </row>
        <row r="165">
          <cell r="C165" t="str">
            <v>IT25700100</v>
          </cell>
          <cell r="D165">
            <v>161</v>
          </cell>
          <cell r="E165" t="str">
            <v>Haste para aterramento, de cobre, de 5/8", com 3m.</v>
          </cell>
          <cell r="F165" t="str">
            <v xml:space="preserve"> un</v>
          </cell>
          <cell r="G165">
            <v>60.94</v>
          </cell>
          <cell r="H165">
            <v>29</v>
          </cell>
        </row>
        <row r="166">
          <cell r="C166" t="str">
            <v>IT25990100</v>
          </cell>
          <cell r="D166">
            <v>162</v>
          </cell>
          <cell r="E166" t="str">
            <v>Base de ferro retangular, para caixa subterrânea.</v>
          </cell>
          <cell r="F166" t="str">
            <v xml:space="preserve"> un</v>
          </cell>
          <cell r="G166">
            <v>117.72</v>
          </cell>
          <cell r="H166">
            <v>55</v>
          </cell>
        </row>
        <row r="167">
          <cell r="C167" t="str">
            <v>IT25990103</v>
          </cell>
          <cell r="D167">
            <v>163</v>
          </cell>
          <cell r="E167" t="str">
            <v>Tampa de ferro retangular, medindo (1,07x0,52)m.</v>
          </cell>
          <cell r="F167" t="str">
            <v xml:space="preserve"> un</v>
          </cell>
          <cell r="G167">
            <v>231.13</v>
          </cell>
          <cell r="H167">
            <v>55</v>
          </cell>
        </row>
        <row r="168">
          <cell r="C168" t="str">
            <v>RV15200409</v>
          </cell>
          <cell r="D168">
            <v>164</v>
          </cell>
          <cell r="E168" t="str">
            <v>Revestimento com granito Cinza flameado.</v>
          </cell>
          <cell r="F168" t="str">
            <v>m2</v>
          </cell>
          <cell r="G168">
            <v>82.41</v>
          </cell>
          <cell r="H168">
            <v>152</v>
          </cell>
        </row>
        <row r="169">
          <cell r="C169" t="str">
            <v>RV15250103</v>
          </cell>
          <cell r="D169">
            <v>165</v>
          </cell>
          <cell r="E169" t="str">
            <v>Piso de concreto simples,8cm de espessura.</v>
          </cell>
          <cell r="F169" t="str">
            <v>m2</v>
          </cell>
          <cell r="G169">
            <v>24.65</v>
          </cell>
          <cell r="H169">
            <v>1095</v>
          </cell>
        </row>
        <row r="170">
          <cell r="C170" t="str">
            <v>CI05750050</v>
          </cell>
          <cell r="D170">
            <v>166</v>
          </cell>
          <cell r="E170" t="str">
            <v>Cabine para quiosque em Fiber-Glass.</v>
          </cell>
          <cell r="F170" t="str">
            <v xml:space="preserve"> un   </v>
          </cell>
          <cell r="G170">
            <v>12250.73</v>
          </cell>
          <cell r="H170">
            <v>6</v>
          </cell>
        </row>
        <row r="171">
          <cell r="C171" t="str">
            <v>PT05300250</v>
          </cell>
          <cell r="D171">
            <v>167</v>
          </cell>
          <cell r="E171" t="str">
            <v>Pintura sobre concreto com uma demão de Primer.</v>
          </cell>
          <cell r="F171" t="str">
            <v>m2</v>
          </cell>
          <cell r="G171">
            <v>9.09</v>
          </cell>
          <cell r="H171">
            <v>542</v>
          </cell>
        </row>
        <row r="172">
          <cell r="C172" t="str">
            <v>PT05400106</v>
          </cell>
          <cell r="D172">
            <v>168</v>
          </cell>
          <cell r="E172" t="str">
            <v>Pintura interna ou externa sobre ferro, com esmalte.</v>
          </cell>
          <cell r="F172" t="str">
            <v>m2</v>
          </cell>
          <cell r="G172">
            <v>7.86</v>
          </cell>
          <cell r="H172">
            <v>1262</v>
          </cell>
        </row>
        <row r="173">
          <cell r="C173" t="str">
            <v>DR05200050</v>
          </cell>
          <cell r="D173">
            <v>169</v>
          </cell>
          <cell r="E173" t="str">
            <v>Tubo de concreto armado com diametro de 0,40m.</v>
          </cell>
          <cell r="F173" t="str">
            <v>m</v>
          </cell>
          <cell r="G173">
            <v>43.02</v>
          </cell>
          <cell r="H173">
            <v>768</v>
          </cell>
        </row>
        <row r="174">
          <cell r="C174" t="str">
            <v>DR05200100</v>
          </cell>
          <cell r="D174">
            <v>170</v>
          </cell>
          <cell r="E174" t="str">
            <v>Tubo de concreto armado com diâmetro de 0,50m.</v>
          </cell>
          <cell r="F174" t="str">
            <v>m</v>
          </cell>
          <cell r="G174">
            <v>62.61</v>
          </cell>
          <cell r="H174">
            <v>290</v>
          </cell>
        </row>
        <row r="175">
          <cell r="C175" t="str">
            <v>DR05200150</v>
          </cell>
          <cell r="D175">
            <v>171</v>
          </cell>
          <cell r="E175" t="str">
            <v>Tubo de concreto armado com diâmetro de 0,60m.</v>
          </cell>
          <cell r="F175" t="str">
            <v>m</v>
          </cell>
          <cell r="G175">
            <v>71.53</v>
          </cell>
          <cell r="H175">
            <v>54</v>
          </cell>
        </row>
        <row r="176">
          <cell r="C176" t="str">
            <v>DR05200200</v>
          </cell>
          <cell r="D176">
            <v>172</v>
          </cell>
          <cell r="E176" t="str">
            <v>Tubo de concreto armado com diâmetro de 0,70m.</v>
          </cell>
          <cell r="F176" t="str">
            <v>m</v>
          </cell>
          <cell r="G176">
            <v>106.59</v>
          </cell>
          <cell r="H176">
            <v>264</v>
          </cell>
        </row>
        <row r="177">
          <cell r="C177" t="str">
            <v>DR05200250</v>
          </cell>
          <cell r="D177">
            <v>173</v>
          </cell>
          <cell r="E177" t="str">
            <v>Tubo de concreto armado com diâmetro de 0,80m.</v>
          </cell>
          <cell r="F177" t="str">
            <v>m</v>
          </cell>
          <cell r="G177">
            <v>113.63</v>
          </cell>
          <cell r="H177">
            <v>38</v>
          </cell>
        </row>
        <row r="178">
          <cell r="C178" t="str">
            <v>DR05200350</v>
          </cell>
          <cell r="D178">
            <v>174</v>
          </cell>
          <cell r="E178" t="str">
            <v>Tubo de concreto armado com diametro de 1m.</v>
          </cell>
          <cell r="F178" t="str">
            <v>m</v>
          </cell>
          <cell r="G178">
            <v>189.28</v>
          </cell>
          <cell r="H178">
            <v>320</v>
          </cell>
        </row>
        <row r="179">
          <cell r="C179" t="str">
            <v>DR05200500</v>
          </cell>
          <cell r="D179">
            <v>175</v>
          </cell>
          <cell r="E179" t="str">
            <v>Tubo de concreto armado com diâmetro de 1,50m.</v>
          </cell>
          <cell r="F179" t="str">
            <v>m</v>
          </cell>
          <cell r="G179">
            <v>400.58</v>
          </cell>
          <cell r="H179">
            <v>214</v>
          </cell>
        </row>
        <row r="180">
          <cell r="C180" t="str">
            <v>DR05400100</v>
          </cell>
          <cell r="D180">
            <v>176</v>
          </cell>
          <cell r="E180" t="str">
            <v>Tubo de PVC rígido Vinilfort, diâmetro de 150mm.</v>
          </cell>
          <cell r="F180" t="str">
            <v>m</v>
          </cell>
          <cell r="G180">
            <v>19.47</v>
          </cell>
          <cell r="H180">
            <v>1643</v>
          </cell>
        </row>
        <row r="181">
          <cell r="C181" t="str">
            <v>DR05400150</v>
          </cell>
          <cell r="D181">
            <v>177</v>
          </cell>
          <cell r="E181" t="str">
            <v>Tubo de PVC rígido Vinilfort, diâmetro de 200mm.</v>
          </cell>
          <cell r="F181" t="str">
            <v>m</v>
          </cell>
          <cell r="G181">
            <v>27.22</v>
          </cell>
          <cell r="H181">
            <v>263</v>
          </cell>
        </row>
        <row r="182">
          <cell r="C182" t="str">
            <v>DR10050065</v>
          </cell>
          <cell r="D182">
            <v>178</v>
          </cell>
          <cell r="E182" t="str">
            <v>Tubo de ferro fundido K-9, diâmetro de 300mm.</v>
          </cell>
          <cell r="F182" t="str">
            <v>m</v>
          </cell>
          <cell r="G182">
            <v>370.29</v>
          </cell>
          <cell r="H182">
            <v>200</v>
          </cell>
        </row>
        <row r="183">
          <cell r="C183" t="str">
            <v>DR20100050</v>
          </cell>
          <cell r="D183">
            <v>179</v>
          </cell>
          <cell r="E183" t="str">
            <v>Poço de visita de (1,20x1,20x1,40)m ø 0,40 a 0,70m.</v>
          </cell>
          <cell r="F183" t="str">
            <v xml:space="preserve"> un</v>
          </cell>
          <cell r="G183">
            <v>704.13</v>
          </cell>
          <cell r="H183">
            <v>22</v>
          </cell>
        </row>
        <row r="184">
          <cell r="C184" t="str">
            <v>DR20100053</v>
          </cell>
          <cell r="D184">
            <v>180</v>
          </cell>
          <cell r="E184" t="str">
            <v>Poço de visita de (1,30 x1,30 x1,40)m ø de 0,80 m.</v>
          </cell>
          <cell r="F184" t="str">
            <v xml:space="preserve"> un</v>
          </cell>
          <cell r="G184">
            <v>750.69</v>
          </cell>
          <cell r="H184">
            <v>2</v>
          </cell>
        </row>
        <row r="185">
          <cell r="C185" t="str">
            <v>DR20100059</v>
          </cell>
          <cell r="D185">
            <v>181</v>
          </cell>
          <cell r="E185" t="str">
            <v>Poço de visita de (1.50x1.50x1.60)m ø1,00 m.</v>
          </cell>
          <cell r="F185" t="str">
            <v xml:space="preserve"> un</v>
          </cell>
          <cell r="G185">
            <v>948.69</v>
          </cell>
          <cell r="H185">
            <v>11</v>
          </cell>
        </row>
        <row r="186">
          <cell r="C186" t="str">
            <v>DR20100068</v>
          </cell>
          <cell r="D186">
            <v>182</v>
          </cell>
          <cell r="E186" t="str">
            <v>Poço de vista de ( 2x 2x2,10)m ø1,50m.</v>
          </cell>
          <cell r="F186" t="str">
            <v xml:space="preserve"> un</v>
          </cell>
          <cell r="G186">
            <v>1525.88</v>
          </cell>
          <cell r="H186">
            <v>7</v>
          </cell>
        </row>
        <row r="187">
          <cell r="C187" t="str">
            <v>DR20150053</v>
          </cell>
          <cell r="D187">
            <v>183</v>
          </cell>
          <cell r="E187" t="str">
            <v>Poço de visita para esgoto sanitário de 1m .</v>
          </cell>
          <cell r="F187" t="str">
            <v xml:space="preserve"> un</v>
          </cell>
          <cell r="G187">
            <v>129.63</v>
          </cell>
          <cell r="H187">
            <v>2</v>
          </cell>
        </row>
        <row r="188">
          <cell r="C188" t="str">
            <v>DR20150056</v>
          </cell>
          <cell r="D188">
            <v>184</v>
          </cell>
          <cell r="E188" t="str">
            <v xml:space="preserve">Poço de visita para esgoto sanitário de 1,05m.                      </v>
          </cell>
          <cell r="F188" t="str">
            <v xml:space="preserve"> un</v>
          </cell>
          <cell r="G188">
            <v>303.89</v>
          </cell>
          <cell r="H188">
            <v>1</v>
          </cell>
        </row>
        <row r="189">
          <cell r="C189" t="str">
            <v>DR20150059</v>
          </cell>
          <cell r="D189">
            <v>185</v>
          </cell>
          <cell r="E189" t="str">
            <v xml:space="preserve">Poço de visita para esgoto sanitário de 1,20m.  </v>
          </cell>
          <cell r="F189" t="str">
            <v xml:space="preserve"> un</v>
          </cell>
          <cell r="G189">
            <v>337.88</v>
          </cell>
          <cell r="H189">
            <v>15</v>
          </cell>
        </row>
        <row r="190">
          <cell r="C190" t="str">
            <v>DR20150062</v>
          </cell>
          <cell r="D190">
            <v>186</v>
          </cell>
          <cell r="E190" t="str">
            <v xml:space="preserve">Poço de visita de esgoto sanitário de 1,40m.      </v>
          </cell>
          <cell r="F190" t="str">
            <v xml:space="preserve"> un</v>
          </cell>
          <cell r="G190">
            <v>387.67</v>
          </cell>
          <cell r="H190">
            <v>5</v>
          </cell>
        </row>
        <row r="191">
          <cell r="C191" t="str">
            <v>DR20150065</v>
          </cell>
          <cell r="D191">
            <v>187</v>
          </cell>
          <cell r="E191" t="str">
            <v xml:space="preserve">Poço de visita de esgoto sanitário de 1,50m.  </v>
          </cell>
          <cell r="F191" t="str">
            <v xml:space="preserve"> un</v>
          </cell>
          <cell r="G191">
            <v>412.76</v>
          </cell>
          <cell r="H191">
            <v>7</v>
          </cell>
        </row>
        <row r="192">
          <cell r="C192" t="str">
            <v>DR20150068</v>
          </cell>
          <cell r="D192">
            <v>188</v>
          </cell>
          <cell r="E192" t="str">
            <v xml:space="preserve">Poço de visita de esgoto sanitário de 1,60m.          </v>
          </cell>
          <cell r="F192" t="str">
            <v xml:space="preserve"> un</v>
          </cell>
          <cell r="G192">
            <v>416.03</v>
          </cell>
          <cell r="H192">
            <v>4</v>
          </cell>
        </row>
        <row r="193">
          <cell r="C193" t="str">
            <v>DR20150071</v>
          </cell>
          <cell r="D193">
            <v>189</v>
          </cell>
          <cell r="E193" t="str">
            <v xml:space="preserve">Poço de visita de esgoto sanitário de 1,70m.   </v>
          </cell>
          <cell r="F193" t="str">
            <v xml:space="preserve"> un</v>
          </cell>
          <cell r="G193">
            <v>450.56</v>
          </cell>
          <cell r="H193">
            <v>2</v>
          </cell>
        </row>
        <row r="194">
          <cell r="C194" t="str">
            <v>DR20150074</v>
          </cell>
          <cell r="D194">
            <v>190</v>
          </cell>
          <cell r="E194" t="str">
            <v xml:space="preserve">Poço de visita de esgoto sanitário de 2m.       </v>
          </cell>
          <cell r="F194" t="str">
            <v xml:space="preserve"> un</v>
          </cell>
          <cell r="G194">
            <v>479.14</v>
          </cell>
          <cell r="H194">
            <v>12</v>
          </cell>
        </row>
        <row r="195">
          <cell r="C195" t="str">
            <v>DR20150077</v>
          </cell>
          <cell r="D195">
            <v>191</v>
          </cell>
          <cell r="E195" t="str">
            <v xml:space="preserve">Poço de visita de esgoto sanitário de 2,30m.        </v>
          </cell>
          <cell r="F195" t="str">
            <v xml:space="preserve"> un</v>
          </cell>
          <cell r="G195">
            <v>518.35</v>
          </cell>
          <cell r="H195">
            <v>2</v>
          </cell>
        </row>
        <row r="196">
          <cell r="C196" t="str">
            <v>DR30150103</v>
          </cell>
          <cell r="D196">
            <v>192</v>
          </cell>
          <cell r="E196" t="str">
            <v>Caixa de ralo de blocos de concreto prensado.</v>
          </cell>
          <cell r="F196" t="str">
            <v xml:space="preserve"> un</v>
          </cell>
          <cell r="G196">
            <v>541.29999999999995</v>
          </cell>
          <cell r="H196">
            <v>135</v>
          </cell>
        </row>
        <row r="197">
          <cell r="C197" t="str">
            <v>DR05300100</v>
          </cell>
          <cell r="D197">
            <v>193</v>
          </cell>
          <cell r="E197" t="str">
            <v>Manilha cerâmica vidrada, com diâmetro 0,15m.</v>
          </cell>
          <cell r="F197" t="str">
            <v>m</v>
          </cell>
          <cell r="G197">
            <v>16.14</v>
          </cell>
          <cell r="H197">
            <v>1240</v>
          </cell>
        </row>
        <row r="198">
          <cell r="C198" t="str">
            <v>DR35050250</v>
          </cell>
          <cell r="D198">
            <v>194</v>
          </cell>
          <cell r="E198" t="str">
            <v>Tampão de ferro fundido completo pesado, de 0,60m.</v>
          </cell>
          <cell r="F198" t="str">
            <v xml:space="preserve"> un</v>
          </cell>
          <cell r="G198">
            <v>209.66</v>
          </cell>
          <cell r="H198">
            <v>140</v>
          </cell>
        </row>
        <row r="199">
          <cell r="C199" t="str">
            <v>DR35050300</v>
          </cell>
          <cell r="D199">
            <v>195</v>
          </cell>
          <cell r="E199" t="str">
            <v>Tampão de ferro fundido completo, de 3 seções.</v>
          </cell>
          <cell r="F199" t="str">
            <v xml:space="preserve"> un</v>
          </cell>
          <cell r="G199">
            <v>1659.65</v>
          </cell>
          <cell r="H199">
            <v>9</v>
          </cell>
        </row>
        <row r="200">
          <cell r="C200" t="str">
            <v>DR55050450</v>
          </cell>
          <cell r="D200">
            <v>196</v>
          </cell>
          <cell r="E200" t="str">
            <v>Embasamento de tubulação, feito com pó-de-pedra.</v>
          </cell>
          <cell r="F200" t="str">
            <v>m3</v>
          </cell>
          <cell r="G200">
            <v>47.35</v>
          </cell>
          <cell r="H200">
            <v>200</v>
          </cell>
        </row>
        <row r="201">
          <cell r="C201" t="str">
            <v>DR75050077</v>
          </cell>
          <cell r="D201">
            <v>197</v>
          </cell>
          <cell r="E201" t="str">
            <v>Levantamento limpeza reassentamento tubos ø1,50m.</v>
          </cell>
          <cell r="F201" t="str">
            <v>m</v>
          </cell>
          <cell r="G201">
            <v>137.80000000000001</v>
          </cell>
          <cell r="H201">
            <v>576</v>
          </cell>
        </row>
        <row r="202">
          <cell r="C202" t="str">
            <v>BP05050050</v>
          </cell>
          <cell r="D202">
            <v>198</v>
          </cell>
          <cell r="E202" t="str">
            <v>Base de brita corrida.</v>
          </cell>
          <cell r="F202" t="str">
            <v>m3</v>
          </cell>
          <cell r="G202">
            <v>35.47</v>
          </cell>
          <cell r="H202">
            <v>7200</v>
          </cell>
        </row>
        <row r="203">
          <cell r="C203" t="str">
            <v>BP05050400A</v>
          </cell>
          <cell r="D203">
            <v>199</v>
          </cell>
          <cell r="E203" t="str">
            <v>Imprimação de base de pavimentação.</v>
          </cell>
          <cell r="F203" t="str">
            <v>m2</v>
          </cell>
          <cell r="G203">
            <v>2.04</v>
          </cell>
          <cell r="H203">
            <v>23998</v>
          </cell>
        </row>
        <row r="204">
          <cell r="C204" t="str">
            <v>BP05050100</v>
          </cell>
          <cell r="D204">
            <v>200</v>
          </cell>
          <cell r="E204" t="str">
            <v>Camada de bloqueio (colchão) de areia.</v>
          </cell>
          <cell r="F204" t="str">
            <v>m3</v>
          </cell>
          <cell r="G204">
            <v>29.11</v>
          </cell>
          <cell r="H204">
            <v>7200</v>
          </cell>
        </row>
        <row r="205">
          <cell r="C205" t="str">
            <v>BP05050103</v>
          </cell>
          <cell r="D205">
            <v>201</v>
          </cell>
          <cell r="E205" t="str">
            <v>Camada de bloqueio (colchão) de pó-de-pedra.</v>
          </cell>
          <cell r="F205" t="str">
            <v>m3</v>
          </cell>
          <cell r="G205">
            <v>31.41</v>
          </cell>
          <cell r="H205">
            <v>6000</v>
          </cell>
        </row>
        <row r="206">
          <cell r="C206" t="str">
            <v>BP10050659</v>
          </cell>
          <cell r="D206">
            <v>202</v>
          </cell>
          <cell r="E206" t="str">
            <v>Revestimento de CBUQ, com  10cm de espessura.</v>
          </cell>
          <cell r="F206" t="str">
            <v>m2</v>
          </cell>
          <cell r="G206">
            <v>24.98</v>
          </cell>
          <cell r="H206">
            <v>23998</v>
          </cell>
        </row>
        <row r="207">
          <cell r="C207" t="str">
            <v>BP10200368</v>
          </cell>
          <cell r="D207">
            <v>203</v>
          </cell>
          <cell r="E207" t="str">
            <v>Revestimento intertravado com peças de concreto.</v>
          </cell>
          <cell r="F207" t="str">
            <v>m2</v>
          </cell>
          <cell r="G207">
            <v>54.88</v>
          </cell>
          <cell r="H207">
            <v>18820</v>
          </cell>
        </row>
        <row r="208">
          <cell r="C208" t="str">
            <v>BP10250050</v>
          </cell>
          <cell r="D208">
            <v>204</v>
          </cell>
          <cell r="E208" t="str">
            <v>Paralelepípedos.Fornecimento.</v>
          </cell>
          <cell r="F208" t="str">
            <v xml:space="preserve"> un</v>
          </cell>
          <cell r="G208">
            <v>0.45</v>
          </cell>
          <cell r="H208">
            <v>2877</v>
          </cell>
        </row>
        <row r="209">
          <cell r="C209" t="str">
            <v>BP05050450</v>
          </cell>
          <cell r="D209">
            <v>205</v>
          </cell>
          <cell r="E209" t="str">
            <v>Regularização de subleito.</v>
          </cell>
          <cell r="F209" t="str">
            <v>m2</v>
          </cell>
          <cell r="G209">
            <v>0.41</v>
          </cell>
          <cell r="H209">
            <v>23998</v>
          </cell>
        </row>
        <row r="210">
          <cell r="C210" t="str">
            <v>BP20100053</v>
          </cell>
          <cell r="D210">
            <v>206</v>
          </cell>
          <cell r="E210" t="str">
            <v>Cordões de concreto simples, secção de (10x25)cm.</v>
          </cell>
          <cell r="F210" t="str">
            <v>m</v>
          </cell>
          <cell r="G210">
            <v>15.98</v>
          </cell>
          <cell r="H210">
            <v>864</v>
          </cell>
        </row>
        <row r="211">
          <cell r="C211" t="str">
            <v>BP05050250</v>
          </cell>
          <cell r="D211">
            <v>207</v>
          </cell>
          <cell r="E211" t="str">
            <v>Construção de aterro.</v>
          </cell>
          <cell r="F211" t="str">
            <v>m3</v>
          </cell>
          <cell r="G211">
            <v>1.1299999999999999</v>
          </cell>
          <cell r="H211">
            <v>5000</v>
          </cell>
        </row>
        <row r="212">
          <cell r="C212" t="str">
            <v>BP10050400A</v>
          </cell>
          <cell r="D212">
            <v>208</v>
          </cell>
          <cell r="E212" t="str">
            <v>Pintura de ligação.</v>
          </cell>
          <cell r="F212" t="str">
            <v>m2</v>
          </cell>
          <cell r="G212">
            <v>1.23</v>
          </cell>
          <cell r="H212">
            <v>23998</v>
          </cell>
        </row>
        <row r="213">
          <cell r="C213" t="str">
            <v>BP10050500</v>
          </cell>
          <cell r="D213">
            <v>209</v>
          </cell>
          <cell r="E213" t="str">
            <v>Recomposição de revestimento em concreto asfáltico.</v>
          </cell>
          <cell r="F213" t="str">
            <v>m2</v>
          </cell>
          <cell r="G213">
            <v>2.13</v>
          </cell>
          <cell r="H213">
            <v>2000</v>
          </cell>
        </row>
        <row r="214">
          <cell r="C214" t="str">
            <v>BP10150050</v>
          </cell>
          <cell r="D214">
            <v>210</v>
          </cell>
          <cell r="E214" t="str">
            <v>Junta de retração, serrada com disco de diamantes.</v>
          </cell>
          <cell r="F214" t="str">
            <v>m</v>
          </cell>
          <cell r="G214">
            <v>7.5</v>
          </cell>
          <cell r="H214">
            <v>415</v>
          </cell>
        </row>
        <row r="215">
          <cell r="C215" t="str">
            <v>BP10250050</v>
          </cell>
          <cell r="D215">
            <v>211</v>
          </cell>
          <cell r="E215" t="str">
            <v xml:space="preserve">Paralelepípedos.Fornecimento. </v>
          </cell>
          <cell r="F215" t="str">
            <v xml:space="preserve"> un</v>
          </cell>
          <cell r="G215">
            <v>0.45</v>
          </cell>
          <cell r="H215">
            <v>2877</v>
          </cell>
        </row>
        <row r="216">
          <cell r="C216" t="str">
            <v>BP15050050</v>
          </cell>
          <cell r="D216">
            <v>212</v>
          </cell>
          <cell r="E216" t="str">
            <v>Fresagem espessura de até 5cm.</v>
          </cell>
          <cell r="F216" t="str">
            <v>m2</v>
          </cell>
          <cell r="G216">
            <v>1.34</v>
          </cell>
          <cell r="H216">
            <v>16799</v>
          </cell>
        </row>
        <row r="217">
          <cell r="C217" t="str">
            <v>BP20150056</v>
          </cell>
          <cell r="D217">
            <v>213</v>
          </cell>
          <cell r="E217" t="str">
            <v>Sarjeta e meio-fio conjugados, de concreto simples.</v>
          </cell>
          <cell r="F217" t="str">
            <v>m</v>
          </cell>
          <cell r="G217">
            <v>44.43</v>
          </cell>
          <cell r="H217">
            <v>4315</v>
          </cell>
        </row>
        <row r="218">
          <cell r="C218" t="str">
            <v>PJ05100150</v>
          </cell>
          <cell r="D218">
            <v>214</v>
          </cell>
          <cell r="E218" t="str">
            <v>Plantio de grama em placas.</v>
          </cell>
          <cell r="F218" t="str">
            <v>m2</v>
          </cell>
          <cell r="G218">
            <v>6.48</v>
          </cell>
          <cell r="H218">
            <v>2213</v>
          </cell>
        </row>
        <row r="219">
          <cell r="C219" t="str">
            <v>PJ10050200</v>
          </cell>
          <cell r="D219">
            <v>215</v>
          </cell>
          <cell r="E219" t="str">
            <v>Plantio de árvore de 2m de altura.</v>
          </cell>
          <cell r="F219" t="str">
            <v xml:space="preserve"> un</v>
          </cell>
          <cell r="G219">
            <v>14.95</v>
          </cell>
          <cell r="H219">
            <v>283</v>
          </cell>
        </row>
        <row r="220">
          <cell r="C220" t="str">
            <v>PJ10150050</v>
          </cell>
          <cell r="D220">
            <v>216</v>
          </cell>
          <cell r="E220" t="str">
            <v>Árvores tipo 1 - Pseudobombax Ellipticum.</v>
          </cell>
          <cell r="F220" t="str">
            <v xml:space="preserve"> un</v>
          </cell>
          <cell r="G220">
            <v>12.9</v>
          </cell>
          <cell r="H220">
            <v>283</v>
          </cell>
        </row>
        <row r="221">
          <cell r="C221" t="str">
            <v>PJ10250056</v>
          </cell>
          <cell r="D221">
            <v>217</v>
          </cell>
          <cell r="E221" t="str">
            <v>Palmeira tipo 3 - Roystonea Oleracea.</v>
          </cell>
          <cell r="F221" t="str">
            <v xml:space="preserve"> un</v>
          </cell>
          <cell r="G221">
            <v>250</v>
          </cell>
          <cell r="H221">
            <v>20</v>
          </cell>
        </row>
        <row r="222">
          <cell r="C222" t="str">
            <v>PJ20100050</v>
          </cell>
          <cell r="D222">
            <v>218</v>
          </cell>
          <cell r="E222" t="str">
            <v>Arrancamento e replantio de árvore adulta.</v>
          </cell>
          <cell r="F222" t="str">
            <v xml:space="preserve"> un</v>
          </cell>
          <cell r="G222">
            <v>46.5</v>
          </cell>
          <cell r="H222">
            <v>32</v>
          </cell>
        </row>
        <row r="223">
          <cell r="C223" t="str">
            <v>PJ20100306</v>
          </cell>
          <cell r="D223">
            <v>219</v>
          </cell>
          <cell r="E223" t="str">
            <v>Remoção de árvore de grande porte.</v>
          </cell>
          <cell r="F223" t="str">
            <v xml:space="preserve"> un</v>
          </cell>
          <cell r="G223">
            <v>886.31</v>
          </cell>
          <cell r="H223">
            <v>10</v>
          </cell>
        </row>
        <row r="224">
          <cell r="C224" t="str">
            <v>PJ40100356</v>
          </cell>
          <cell r="D224">
            <v>220</v>
          </cell>
          <cell r="E224" t="str">
            <v>Tratamento fitossanitário em árvores.</v>
          </cell>
          <cell r="F224" t="str">
            <v xml:space="preserve"> un</v>
          </cell>
          <cell r="G224">
            <v>663.93</v>
          </cell>
          <cell r="H224">
            <v>100</v>
          </cell>
        </row>
        <row r="225">
          <cell r="C225" t="str">
            <v>PJ15050053</v>
          </cell>
          <cell r="D225">
            <v>221</v>
          </cell>
          <cell r="E225" t="str">
            <v>Cerca protetora para jardim.</v>
          </cell>
          <cell r="F225" t="str">
            <v>m2</v>
          </cell>
          <cell r="G225">
            <v>57.16</v>
          </cell>
          <cell r="H225">
            <v>200</v>
          </cell>
        </row>
        <row r="226">
          <cell r="C226" t="str">
            <v>PJ25050100</v>
          </cell>
          <cell r="D226">
            <v>222</v>
          </cell>
          <cell r="E226" t="str">
            <v>Banco para jardim, duplo, pés em ferro fundido.</v>
          </cell>
          <cell r="F226" t="str">
            <v xml:space="preserve"> un</v>
          </cell>
          <cell r="G226">
            <v>904.96</v>
          </cell>
          <cell r="H226">
            <v>36</v>
          </cell>
        </row>
        <row r="227">
          <cell r="C227" t="str">
            <v>PJ25050153</v>
          </cell>
          <cell r="D227">
            <v>223</v>
          </cell>
          <cell r="E227" t="str">
            <v>Mesa de jogos com 4 bancos.</v>
          </cell>
          <cell r="F227" t="str">
            <v xml:space="preserve"> un</v>
          </cell>
          <cell r="G227">
            <v>547.5</v>
          </cell>
          <cell r="H227">
            <v>14</v>
          </cell>
        </row>
        <row r="228">
          <cell r="C228" t="str">
            <v>PJ25100253</v>
          </cell>
          <cell r="D228">
            <v>224</v>
          </cell>
          <cell r="E228" t="str">
            <v>Brinquedo modelo A-08 Dupla Escalada.</v>
          </cell>
          <cell r="F228" t="str">
            <v xml:space="preserve"> un</v>
          </cell>
          <cell r="G228">
            <v>1730.38</v>
          </cell>
          <cell r="H228">
            <v>5</v>
          </cell>
        </row>
        <row r="229">
          <cell r="C229" t="str">
            <v>PJ25100350</v>
          </cell>
          <cell r="D229">
            <v>225</v>
          </cell>
          <cell r="E229" t="str">
            <v>Casa do Tarzan, referência M-45, conforme o modelo.</v>
          </cell>
          <cell r="F229" t="str">
            <v xml:space="preserve"> un</v>
          </cell>
          <cell r="G229">
            <v>2911.25</v>
          </cell>
          <cell r="H229">
            <v>1</v>
          </cell>
        </row>
        <row r="230">
          <cell r="C230" t="str">
            <v>PJ25100600</v>
          </cell>
          <cell r="D230">
            <v>226</v>
          </cell>
          <cell r="E230" t="str">
            <v>Etapa 8, conforme o modelo Pactaplayground.</v>
          </cell>
          <cell r="F230" t="str">
            <v xml:space="preserve"> un</v>
          </cell>
          <cell r="G230">
            <v>263.37</v>
          </cell>
          <cell r="H230">
            <v>1</v>
          </cell>
        </row>
        <row r="231">
          <cell r="C231" t="str">
            <v>PJ25101000</v>
          </cell>
          <cell r="D231">
            <v>227</v>
          </cell>
          <cell r="E231" t="str">
            <v>Prancha para abdominal, em madeira de Lei.</v>
          </cell>
          <cell r="F231" t="str">
            <v xml:space="preserve"> un</v>
          </cell>
          <cell r="G231">
            <v>288.86</v>
          </cell>
          <cell r="H231">
            <v>2</v>
          </cell>
        </row>
        <row r="232">
          <cell r="C232" t="str">
            <v>PJ15050153</v>
          </cell>
          <cell r="D232">
            <v>228</v>
          </cell>
          <cell r="E232" t="str">
            <v>Protetor de árvore em ferro de 3/8".</v>
          </cell>
          <cell r="F232" t="str">
            <v xml:space="preserve"> un</v>
          </cell>
          <cell r="G232">
            <v>40.17</v>
          </cell>
          <cell r="H232">
            <v>283</v>
          </cell>
        </row>
        <row r="233">
          <cell r="C233" t="str">
            <v>PJ20050200</v>
          </cell>
          <cell r="D233">
            <v>229</v>
          </cell>
          <cell r="E233" t="str">
            <v>Aterro com terra preta simples, para gramados.</v>
          </cell>
          <cell r="F233" t="str">
            <v>m3</v>
          </cell>
          <cell r="G233">
            <v>57.72</v>
          </cell>
          <cell r="H233">
            <v>303</v>
          </cell>
        </row>
        <row r="234">
          <cell r="C234" t="str">
            <v>PJ20050453</v>
          </cell>
          <cell r="D234">
            <v>230</v>
          </cell>
          <cell r="E234" t="str">
            <v>Irrigação de árvore e/ou palmeira com Caminhão Pipa.</v>
          </cell>
          <cell r="F234" t="str">
            <v xml:space="preserve"> un</v>
          </cell>
          <cell r="G234">
            <v>0.25</v>
          </cell>
          <cell r="H234">
            <v>303</v>
          </cell>
        </row>
        <row r="235">
          <cell r="C235" t="str">
            <v>PJ20050870</v>
          </cell>
          <cell r="D235">
            <v>231</v>
          </cell>
          <cell r="E235" t="str">
            <v xml:space="preserve">Revolvimento de solo até 20cm de profundidade.   </v>
          </cell>
          <cell r="F235" t="str">
            <v>m2</v>
          </cell>
          <cell r="G235">
            <v>0.67</v>
          </cell>
          <cell r="H235">
            <v>1000</v>
          </cell>
        </row>
        <row r="236">
          <cell r="C236" t="str">
            <v>PJ25250106</v>
          </cell>
          <cell r="D236">
            <v>232</v>
          </cell>
          <cell r="E236" t="str">
            <v>Frade metálico, em ferro fundido, modelo ciclovia.</v>
          </cell>
          <cell r="F236" t="str">
            <v xml:space="preserve"> un</v>
          </cell>
          <cell r="G236">
            <v>94.45</v>
          </cell>
          <cell r="H236">
            <v>505</v>
          </cell>
        </row>
        <row r="237">
          <cell r="C237" t="str">
            <v>PJ40050159</v>
          </cell>
          <cell r="D237">
            <v>233</v>
          </cell>
          <cell r="E237" t="str">
            <v>Remoção de espécies vegetais.</v>
          </cell>
          <cell r="F237" t="str">
            <v xml:space="preserve"> un</v>
          </cell>
          <cell r="G237">
            <v>207.92</v>
          </cell>
          <cell r="H237">
            <v>35</v>
          </cell>
        </row>
        <row r="238">
          <cell r="C238" t="str">
            <v>IP05100300</v>
          </cell>
          <cell r="D238">
            <v>234</v>
          </cell>
          <cell r="E238" t="str">
            <v>Poste de aço, reto, cônico contínuo de 4,5m.</v>
          </cell>
          <cell r="F238" t="str">
            <v xml:space="preserve"> un</v>
          </cell>
          <cell r="G238">
            <v>199.5</v>
          </cell>
          <cell r="H238">
            <v>70</v>
          </cell>
        </row>
        <row r="239">
          <cell r="C239" t="str">
            <v>IP05100553</v>
          </cell>
          <cell r="D239">
            <v>235</v>
          </cell>
          <cell r="E239" t="str">
            <v>Poste de aço, reto, de 7m.</v>
          </cell>
          <cell r="F239" t="str">
            <v xml:space="preserve"> un</v>
          </cell>
          <cell r="G239">
            <v>4336.38</v>
          </cell>
          <cell r="H239">
            <v>10</v>
          </cell>
        </row>
        <row r="240">
          <cell r="C240" t="str">
            <v>IP05100556</v>
          </cell>
          <cell r="D240">
            <v>236</v>
          </cell>
          <cell r="E240" t="str">
            <v>Poste de aço, reto, de 7m.</v>
          </cell>
          <cell r="F240" t="str">
            <v xml:space="preserve"> un</v>
          </cell>
          <cell r="G240">
            <v>4127</v>
          </cell>
          <cell r="H240">
            <v>20</v>
          </cell>
        </row>
        <row r="241">
          <cell r="C241" t="str">
            <v>IP05100562</v>
          </cell>
          <cell r="D241">
            <v>237</v>
          </cell>
          <cell r="E241" t="str">
            <v>Poste de aço, reto, de 7m.</v>
          </cell>
          <cell r="F241" t="str">
            <v xml:space="preserve"> un</v>
          </cell>
          <cell r="G241">
            <v>3360</v>
          </cell>
          <cell r="H241">
            <v>40</v>
          </cell>
        </row>
        <row r="242">
          <cell r="C242" t="str">
            <v>IP10300506</v>
          </cell>
          <cell r="D242">
            <v>238</v>
          </cell>
          <cell r="E242" t="str">
            <v>Conector tipo cunha, em liga de cobre estanhado.</v>
          </cell>
          <cell r="F242" t="str">
            <v xml:space="preserve"> un</v>
          </cell>
          <cell r="G242">
            <v>6.55</v>
          </cell>
          <cell r="H242">
            <v>32</v>
          </cell>
        </row>
        <row r="243">
          <cell r="C243" t="str">
            <v>IP15250100</v>
          </cell>
          <cell r="D243">
            <v>239</v>
          </cell>
          <cell r="E243" t="str">
            <v xml:space="preserve">Cabo de cobre nu, seção de 16mm2.  Fornecimento.  </v>
          </cell>
          <cell r="F243" t="str">
            <v>kg</v>
          </cell>
          <cell r="G243">
            <v>11.42</v>
          </cell>
          <cell r="H243">
            <v>140</v>
          </cell>
        </row>
        <row r="244">
          <cell r="C244" t="str">
            <v>IP15250109</v>
          </cell>
          <cell r="D244">
            <v>240</v>
          </cell>
          <cell r="E244" t="str">
            <v xml:space="preserve">Cabo de cobre nu, seção de 25mm2.  Fornecimento. </v>
          </cell>
          <cell r="F244" t="str">
            <v>kg</v>
          </cell>
          <cell r="G244">
            <v>11.42</v>
          </cell>
          <cell r="H244">
            <v>141.69999999999999</v>
          </cell>
        </row>
        <row r="245">
          <cell r="C245" t="str">
            <v>IP15300053</v>
          </cell>
          <cell r="D245">
            <v>241</v>
          </cell>
          <cell r="E245" t="str">
            <v>Cabo de cobre flexível, 750V, seção de 2x1,5mm2.</v>
          </cell>
          <cell r="F245" t="str">
            <v>m</v>
          </cell>
          <cell r="G245">
            <v>0.88</v>
          </cell>
          <cell r="H245">
            <v>2158</v>
          </cell>
        </row>
        <row r="246">
          <cell r="C246" t="str">
            <v>IP15300062</v>
          </cell>
          <cell r="D246">
            <v>242</v>
          </cell>
          <cell r="E246" t="str">
            <v>Cabo de cobre flexível, 750V, seção de 3x1,5mm2.</v>
          </cell>
          <cell r="F246" t="str">
            <v xml:space="preserve"> un</v>
          </cell>
          <cell r="G246">
            <v>4.62</v>
          </cell>
          <cell r="H246">
            <v>2158</v>
          </cell>
        </row>
        <row r="247">
          <cell r="C247" t="str">
            <v>IP15350350</v>
          </cell>
          <cell r="D247">
            <v>243</v>
          </cell>
          <cell r="E247" t="str">
            <v>Cabo de cobre rígido, seção de 10mm2, 1Kv,  XLPE.</v>
          </cell>
          <cell r="F247" t="str">
            <v>m</v>
          </cell>
          <cell r="G247">
            <v>2.2599999999999998</v>
          </cell>
          <cell r="H247">
            <v>5100</v>
          </cell>
        </row>
        <row r="248">
          <cell r="C248" t="str">
            <v>IP15350456</v>
          </cell>
          <cell r="D248">
            <v>244</v>
          </cell>
          <cell r="E248" t="str">
            <v>Cabo de cobre rígido, seção de 25mm2, 1Kv, XLPE.</v>
          </cell>
          <cell r="F248" t="str">
            <v>m</v>
          </cell>
          <cell r="G248">
            <v>4.4400000000000004</v>
          </cell>
          <cell r="H248">
            <v>144</v>
          </cell>
        </row>
        <row r="249">
          <cell r="C249" t="str">
            <v>IP15350556</v>
          </cell>
          <cell r="D249">
            <v>245</v>
          </cell>
          <cell r="E249" t="str">
            <v>Cabo de cobre rígido, seção de 50mm2, 1Kv, XLPE.</v>
          </cell>
          <cell r="F249" t="str">
            <v>m</v>
          </cell>
          <cell r="G249">
            <v>23.38</v>
          </cell>
          <cell r="H249">
            <v>1870</v>
          </cell>
        </row>
        <row r="250">
          <cell r="C250" t="str">
            <v>IP15450106</v>
          </cell>
          <cell r="D250">
            <v>246</v>
          </cell>
          <cell r="E250" t="str">
            <v>Colocação de 3 condutores singelos em linha de dutos.</v>
          </cell>
          <cell r="F250" t="str">
            <v>m</v>
          </cell>
          <cell r="G250">
            <v>1.42</v>
          </cell>
          <cell r="H250">
            <v>940</v>
          </cell>
        </row>
        <row r="251">
          <cell r="C251" t="str">
            <v>IP15450109</v>
          </cell>
          <cell r="D251">
            <v>247</v>
          </cell>
          <cell r="E251" t="str">
            <v>Colocação de 4 condutores singelos em linha de dutos.</v>
          </cell>
          <cell r="F251" t="str">
            <v>m</v>
          </cell>
          <cell r="G251">
            <v>1.96</v>
          </cell>
          <cell r="H251">
            <v>6180</v>
          </cell>
        </row>
        <row r="252">
          <cell r="C252" t="str">
            <v>IP35150050</v>
          </cell>
          <cell r="D252">
            <v>248</v>
          </cell>
          <cell r="E252" t="str">
            <v>Comando em grupo CRJ-04 ou similar, 85A.</v>
          </cell>
          <cell r="F252" t="str">
            <v xml:space="preserve"> un</v>
          </cell>
          <cell r="G252">
            <v>1984.4</v>
          </cell>
          <cell r="H252">
            <v>2</v>
          </cell>
        </row>
        <row r="253">
          <cell r="C253" t="str">
            <v>IP35150400</v>
          </cell>
          <cell r="D253">
            <v>249</v>
          </cell>
          <cell r="E253" t="str">
            <v>Comando para IP, caixa trifásico, capacidade de 45A.</v>
          </cell>
          <cell r="F253" t="str">
            <v xml:space="preserve"> un</v>
          </cell>
          <cell r="G253">
            <v>1238</v>
          </cell>
          <cell r="H253">
            <v>6</v>
          </cell>
        </row>
        <row r="254">
          <cell r="C254" t="str">
            <v>IP40050100</v>
          </cell>
          <cell r="D254">
            <v>250</v>
          </cell>
          <cell r="E254" t="str">
            <v>Chave blindada, bipolar, 60A. Fornecimento.</v>
          </cell>
          <cell r="F254" t="str">
            <v xml:space="preserve"> un</v>
          </cell>
          <cell r="G254">
            <v>127</v>
          </cell>
          <cell r="H254">
            <v>10</v>
          </cell>
        </row>
        <row r="255">
          <cell r="C255" t="str">
            <v>IP50300850</v>
          </cell>
          <cell r="D255">
            <v>251</v>
          </cell>
          <cell r="E255" t="str">
            <v>Reator subterrâneo para lâmpada de VS de 400W.</v>
          </cell>
          <cell r="F255" t="str">
            <v xml:space="preserve"> un</v>
          </cell>
          <cell r="G255">
            <v>79.099999999999994</v>
          </cell>
          <cell r="H255">
            <v>198</v>
          </cell>
        </row>
        <row r="256">
          <cell r="C256" t="str">
            <v>IP10350400</v>
          </cell>
          <cell r="D256">
            <v>252</v>
          </cell>
          <cell r="E256" t="str">
            <v>Caixa de ligação tipo Condulets R-15/LB-22.</v>
          </cell>
          <cell r="F256" t="str">
            <v xml:space="preserve"> un</v>
          </cell>
          <cell r="G256">
            <v>7.62</v>
          </cell>
          <cell r="H256">
            <v>40</v>
          </cell>
        </row>
        <row r="257">
          <cell r="C257" t="str">
            <v>IP20050050</v>
          </cell>
          <cell r="D257">
            <v>253</v>
          </cell>
          <cell r="E257" t="str">
            <v xml:space="preserve">Aterramento de caixa Hand-Hole. </v>
          </cell>
          <cell r="F257" t="str">
            <v xml:space="preserve"> un</v>
          </cell>
          <cell r="G257">
            <v>10.34</v>
          </cell>
          <cell r="H257">
            <v>140</v>
          </cell>
        </row>
        <row r="258">
          <cell r="C258" t="str">
            <v>IP25100153</v>
          </cell>
          <cell r="D258">
            <v>254</v>
          </cell>
          <cell r="E258" t="str">
            <v>Caixa Hand-Hole, (0,60x0,60)m.</v>
          </cell>
          <cell r="F258" t="str">
            <v xml:space="preserve"> un</v>
          </cell>
          <cell r="G258">
            <v>80.78</v>
          </cell>
          <cell r="H258">
            <v>140</v>
          </cell>
        </row>
        <row r="259">
          <cell r="C259" t="str">
            <v>IP25100165</v>
          </cell>
          <cell r="D259">
            <v>255</v>
          </cell>
          <cell r="E259" t="str">
            <v>Caixa Hand-Hole, (0,60x0,90)m.</v>
          </cell>
          <cell r="F259" t="str">
            <v xml:space="preserve"> un</v>
          </cell>
          <cell r="G259">
            <v>111.4</v>
          </cell>
          <cell r="H259">
            <v>20</v>
          </cell>
        </row>
        <row r="260">
          <cell r="C260" t="str">
            <v>IP50100200</v>
          </cell>
          <cell r="D260">
            <v>256</v>
          </cell>
          <cell r="E260" t="str">
            <v>Luminária decorativa LDRJ-06 para lâmpada VS.</v>
          </cell>
          <cell r="F260" t="str">
            <v xml:space="preserve"> un</v>
          </cell>
          <cell r="G260">
            <v>362.07</v>
          </cell>
          <cell r="H260">
            <v>360</v>
          </cell>
        </row>
        <row r="261">
          <cell r="C261" t="str">
            <v>IP50100250</v>
          </cell>
          <cell r="D261">
            <v>257</v>
          </cell>
          <cell r="E261" t="str">
            <v>Luminária decorativa tipo LDRJ-16/2.</v>
          </cell>
          <cell r="F261" t="str">
            <v xml:space="preserve"> un</v>
          </cell>
          <cell r="G261">
            <v>249.69</v>
          </cell>
          <cell r="H261">
            <v>280</v>
          </cell>
        </row>
        <row r="262">
          <cell r="C262" t="str">
            <v>IP50200050</v>
          </cell>
          <cell r="D262">
            <v>258</v>
          </cell>
          <cell r="E262" t="str">
            <v>Base simples para luminária LDRJ-06.</v>
          </cell>
          <cell r="F262" t="str">
            <v xml:space="preserve"> un</v>
          </cell>
          <cell r="G262">
            <v>40</v>
          </cell>
          <cell r="H262">
            <v>280</v>
          </cell>
        </row>
        <row r="263">
          <cell r="C263" t="str">
            <v>IP50250406</v>
          </cell>
          <cell r="D263">
            <v>259</v>
          </cell>
          <cell r="E263" t="str">
            <v>Lâmpada de multivapor metálico (MVM) 70W/220V.</v>
          </cell>
          <cell r="F263" t="str">
            <v xml:space="preserve"> un</v>
          </cell>
          <cell r="G263">
            <v>73.77</v>
          </cell>
          <cell r="H263">
            <v>80</v>
          </cell>
        </row>
        <row r="264">
          <cell r="C264" t="str">
            <v>IP50250412</v>
          </cell>
          <cell r="D264">
            <v>260</v>
          </cell>
          <cell r="E264" t="str">
            <v>Lâmpada de multivapor metálico (MVM) 150W/220V.</v>
          </cell>
          <cell r="F264" t="str">
            <v xml:space="preserve"> un</v>
          </cell>
          <cell r="G264">
            <v>163.22999999999999</v>
          </cell>
          <cell r="H264">
            <v>20</v>
          </cell>
        </row>
        <row r="265">
          <cell r="C265" t="str">
            <v>IP05350100</v>
          </cell>
          <cell r="D265">
            <v>261</v>
          </cell>
          <cell r="E265" t="str">
            <v>Fundação simples de concreto pré-moldado,RIOLUZ.</v>
          </cell>
          <cell r="F265" t="str">
            <v xml:space="preserve"> un</v>
          </cell>
          <cell r="G265">
            <v>55.26</v>
          </cell>
          <cell r="H265">
            <v>70</v>
          </cell>
        </row>
        <row r="266">
          <cell r="C266" t="str">
            <v>IP05350150</v>
          </cell>
          <cell r="D266">
            <v>262</v>
          </cell>
          <cell r="E266" t="str">
            <v>Fundação simples de concreto pré-moldado,RIOLUZ.</v>
          </cell>
          <cell r="F266" t="str">
            <v xml:space="preserve"> un</v>
          </cell>
          <cell r="G266">
            <v>61.7</v>
          </cell>
          <cell r="H266">
            <v>70</v>
          </cell>
        </row>
        <row r="267">
          <cell r="C267" t="str">
            <v>IP05550150</v>
          </cell>
          <cell r="D267">
            <v>263</v>
          </cell>
          <cell r="E267" t="str">
            <v>Braço, padrão RIOLUZ, de 1,5m até 2,50m.</v>
          </cell>
          <cell r="F267" t="str">
            <v xml:space="preserve"> un</v>
          </cell>
          <cell r="G267">
            <v>47.7</v>
          </cell>
          <cell r="H267">
            <v>280</v>
          </cell>
        </row>
        <row r="268">
          <cell r="C268" t="str">
            <v>IP15200050</v>
          </cell>
          <cell r="D268">
            <v>264</v>
          </cell>
          <cell r="E268" t="str">
            <v>Mufla, 12/20Kv, referência terminal modular TM.</v>
          </cell>
          <cell r="F268" t="str">
            <v xml:space="preserve"> un</v>
          </cell>
          <cell r="G268">
            <v>173.71</v>
          </cell>
          <cell r="H268">
            <v>40</v>
          </cell>
        </row>
        <row r="269">
          <cell r="C269" t="str">
            <v>IP15500100</v>
          </cell>
          <cell r="D269">
            <v>265</v>
          </cell>
          <cell r="E269" t="str">
            <v>Anilha de nylon para identificação de condutor XLPE.</v>
          </cell>
          <cell r="F269" t="str">
            <v xml:space="preserve"> un</v>
          </cell>
          <cell r="G269">
            <v>0.02</v>
          </cell>
          <cell r="H269">
            <v>324</v>
          </cell>
        </row>
        <row r="270">
          <cell r="C270" t="str">
            <v>IP15500150</v>
          </cell>
          <cell r="D270">
            <v>266</v>
          </cell>
          <cell r="E270" t="str">
            <v>Anilha de nylon para identificação de condutor XLPE.</v>
          </cell>
          <cell r="F270" t="str">
            <v xml:space="preserve"> un</v>
          </cell>
          <cell r="G270">
            <v>0.03</v>
          </cell>
          <cell r="H270">
            <v>324</v>
          </cell>
        </row>
        <row r="271">
          <cell r="C271" t="str">
            <v>IP20050053</v>
          </cell>
          <cell r="D271">
            <v>267</v>
          </cell>
          <cell r="E271" t="str">
            <v>Aterramento de poste de aço.</v>
          </cell>
          <cell r="F271" t="str">
            <v xml:space="preserve"> un</v>
          </cell>
          <cell r="G271">
            <v>18.57</v>
          </cell>
          <cell r="H271">
            <v>140</v>
          </cell>
        </row>
        <row r="272">
          <cell r="C272" t="str">
            <v>IP20050056</v>
          </cell>
          <cell r="D272">
            <v>268</v>
          </cell>
          <cell r="E272" t="str">
            <v>Aterramento de tampão.</v>
          </cell>
          <cell r="F272" t="str">
            <v xml:space="preserve"> un</v>
          </cell>
          <cell r="G272">
            <v>28.47</v>
          </cell>
          <cell r="H272">
            <v>140</v>
          </cell>
        </row>
        <row r="273">
          <cell r="C273" t="str">
            <v>IP20050153</v>
          </cell>
          <cell r="D273">
            <v>269</v>
          </cell>
          <cell r="E273" t="str">
            <v>Conjunto de aterramento de transformador.</v>
          </cell>
          <cell r="F273" t="str">
            <v xml:space="preserve"> un</v>
          </cell>
          <cell r="G273">
            <v>176.69</v>
          </cell>
          <cell r="H273">
            <v>53</v>
          </cell>
        </row>
        <row r="274">
          <cell r="C274" t="str">
            <v>IP30200509</v>
          </cell>
          <cell r="D274">
            <v>270</v>
          </cell>
          <cell r="E274" t="str">
            <v>Luva para eletroduto de PVC rígido de 50mm.</v>
          </cell>
          <cell r="F274" t="str">
            <v xml:space="preserve"> un</v>
          </cell>
          <cell r="G274">
            <v>3.43</v>
          </cell>
          <cell r="H274">
            <v>40</v>
          </cell>
        </row>
        <row r="275">
          <cell r="C275" t="str">
            <v>IP50300700</v>
          </cell>
          <cell r="D275">
            <v>271</v>
          </cell>
          <cell r="E275" t="str">
            <v>Reator subterrâneo lâmpada vapor de sódio de 70W.</v>
          </cell>
          <cell r="F275" t="str">
            <v xml:space="preserve"> un</v>
          </cell>
          <cell r="G275">
            <v>40.54</v>
          </cell>
          <cell r="H275">
            <v>200</v>
          </cell>
        </row>
        <row r="276">
          <cell r="C276" t="str">
            <v>IP50300750</v>
          </cell>
          <cell r="D276">
            <v>272</v>
          </cell>
          <cell r="E276" t="str">
            <v>Reator subterrâneo lâmpada vapor de sódio de 150W.</v>
          </cell>
          <cell r="F276" t="str">
            <v xml:space="preserve"> un</v>
          </cell>
          <cell r="G276">
            <v>74.319999999999993</v>
          </cell>
          <cell r="H276">
            <v>26</v>
          </cell>
        </row>
        <row r="277">
          <cell r="C277" t="str">
            <v>IP60200200</v>
          </cell>
          <cell r="D277">
            <v>273</v>
          </cell>
          <cell r="E277" t="str">
            <v xml:space="preserve">Retirada de chaves fusíveis e ferragens, linha 13,2Kv.   </v>
          </cell>
          <cell r="F277" t="str">
            <v xml:space="preserve"> un</v>
          </cell>
          <cell r="G277">
            <v>9.76</v>
          </cell>
          <cell r="H277">
            <v>100</v>
          </cell>
        </row>
        <row r="278">
          <cell r="C278" t="str">
            <v>IP60200362</v>
          </cell>
          <cell r="D278">
            <v>274</v>
          </cell>
          <cell r="E278" t="str">
            <v>Retirada de luminária em poste com 13m a 15m.</v>
          </cell>
          <cell r="F278" t="str">
            <v xml:space="preserve"> un</v>
          </cell>
          <cell r="G278">
            <v>9.76</v>
          </cell>
          <cell r="H278">
            <v>118</v>
          </cell>
        </row>
        <row r="279">
          <cell r="C279" t="str">
            <v>IP60200512</v>
          </cell>
          <cell r="D279">
            <v>275</v>
          </cell>
          <cell r="E279" t="str">
            <v xml:space="preserve">Retirada de poste de concreto ou aço de 13m a 15m.   </v>
          </cell>
          <cell r="F279" t="str">
            <v xml:space="preserve"> un</v>
          </cell>
          <cell r="G279">
            <v>97.64</v>
          </cell>
          <cell r="H279">
            <v>108</v>
          </cell>
        </row>
        <row r="280">
          <cell r="C280" t="str">
            <v>IP60200650</v>
          </cell>
          <cell r="D280">
            <v>276</v>
          </cell>
          <cell r="E280" t="str">
            <v xml:space="preserve">Retirada de rede aérea de 13,2Kv (lance).   </v>
          </cell>
          <cell r="F280" t="str">
            <v xml:space="preserve"> un</v>
          </cell>
          <cell r="G280">
            <v>19.53</v>
          </cell>
          <cell r="H280">
            <v>94</v>
          </cell>
        </row>
        <row r="281">
          <cell r="C281" t="str">
            <v>IP60200800</v>
          </cell>
          <cell r="D281">
            <v>277</v>
          </cell>
          <cell r="E281" t="str">
            <v xml:space="preserve">Retirada de transformadores de 5Kva até 112,5Kva.   </v>
          </cell>
          <cell r="F281" t="str">
            <v xml:space="preserve"> un</v>
          </cell>
          <cell r="G281">
            <v>39.06</v>
          </cell>
          <cell r="H281">
            <v>2</v>
          </cell>
        </row>
        <row r="282">
          <cell r="C282" t="str">
            <v>IP99990150</v>
          </cell>
          <cell r="D282">
            <v>278</v>
          </cell>
          <cell r="E282" t="str">
            <v>Capa isolante de silicone para conector tipo cunha.</v>
          </cell>
          <cell r="F282" t="str">
            <v xml:space="preserve"> un</v>
          </cell>
          <cell r="G282">
            <v>3.68</v>
          </cell>
          <cell r="H282">
            <v>1475</v>
          </cell>
        </row>
        <row r="283">
          <cell r="C283" t="str">
            <v>ST05051200</v>
          </cell>
          <cell r="D283">
            <v>279</v>
          </cell>
          <cell r="E283" t="str">
            <v>Sinalização horizontal, aplicada por extursão.</v>
          </cell>
          <cell r="F283" t="str">
            <v>m2</v>
          </cell>
          <cell r="G283">
            <v>37.81</v>
          </cell>
          <cell r="H283">
            <v>1000</v>
          </cell>
        </row>
        <row r="284">
          <cell r="C284" t="str">
            <v>ST10150050</v>
          </cell>
          <cell r="D284">
            <v>280</v>
          </cell>
          <cell r="E284" t="str">
            <v>Bloco semafórico para pedestre.</v>
          </cell>
          <cell r="F284" t="str">
            <v xml:space="preserve"> un</v>
          </cell>
          <cell r="G284">
            <v>224.25</v>
          </cell>
          <cell r="H284">
            <v>60</v>
          </cell>
        </row>
        <row r="285">
          <cell r="C285" t="str">
            <v>ST10150150</v>
          </cell>
          <cell r="D285">
            <v>281</v>
          </cell>
          <cell r="E285" t="str">
            <v>Bloco semafórico principal.</v>
          </cell>
          <cell r="F285" t="str">
            <v xml:space="preserve"> un</v>
          </cell>
          <cell r="G285">
            <v>691.39</v>
          </cell>
          <cell r="H285">
            <v>48</v>
          </cell>
        </row>
        <row r="286">
          <cell r="C286" t="str">
            <v>ST10150200</v>
          </cell>
          <cell r="D286">
            <v>282</v>
          </cell>
          <cell r="E286" t="str">
            <v>Bloco semafórico repetidor.</v>
          </cell>
          <cell r="F286" t="str">
            <v xml:space="preserve"> un</v>
          </cell>
          <cell r="G286">
            <v>423</v>
          </cell>
          <cell r="H286">
            <v>65</v>
          </cell>
        </row>
        <row r="287">
          <cell r="C287" t="str">
            <v>ST10150300</v>
          </cell>
          <cell r="D287">
            <v>283</v>
          </cell>
          <cell r="E287" t="str">
            <v>Conjunto semafórico para pedestre.</v>
          </cell>
          <cell r="F287" t="str">
            <v xml:space="preserve"> un</v>
          </cell>
          <cell r="G287">
            <v>1779.7</v>
          </cell>
          <cell r="H287">
            <v>20</v>
          </cell>
        </row>
        <row r="288">
          <cell r="C288" t="str">
            <v>ST15250100</v>
          </cell>
          <cell r="D288">
            <v>284</v>
          </cell>
          <cell r="E288" t="str">
            <v>Placa de sinalização de alumínio com fundo pintado.</v>
          </cell>
          <cell r="F288" t="str">
            <v>m2</v>
          </cell>
          <cell r="G288">
            <v>239</v>
          </cell>
          <cell r="H288">
            <v>30</v>
          </cell>
        </row>
        <row r="289">
          <cell r="C289" t="str">
            <v>ST15250150</v>
          </cell>
          <cell r="D289">
            <v>285</v>
          </cell>
          <cell r="E289" t="str">
            <v>Placa de sinalização de alumínio em película refletiva.</v>
          </cell>
          <cell r="F289" t="str">
            <v>m2</v>
          </cell>
          <cell r="G289">
            <v>1013.69</v>
          </cell>
          <cell r="H289">
            <v>60</v>
          </cell>
        </row>
        <row r="290">
          <cell r="C290" t="str">
            <v>ST15250200</v>
          </cell>
          <cell r="D290">
            <v>286</v>
          </cell>
          <cell r="E290" t="str">
            <v>Placa de sinalização de alumínio em película refletiva.</v>
          </cell>
          <cell r="F290" t="str">
            <v>m2</v>
          </cell>
          <cell r="G290">
            <v>564.05999999999995</v>
          </cell>
          <cell r="H290">
            <v>400</v>
          </cell>
        </row>
        <row r="291">
          <cell r="C291" t="str">
            <v>ST10100050</v>
          </cell>
          <cell r="D291">
            <v>287</v>
          </cell>
          <cell r="E291" t="str">
            <v>Controlador de área, compatível com CET-RIO/CTA.</v>
          </cell>
          <cell r="F291" t="str">
            <v xml:space="preserve"> un</v>
          </cell>
          <cell r="G291">
            <v>53682.42</v>
          </cell>
          <cell r="H291">
            <v>1</v>
          </cell>
        </row>
        <row r="292">
          <cell r="C292" t="str">
            <v>ST10100450</v>
          </cell>
          <cell r="D292">
            <v>288</v>
          </cell>
          <cell r="E292" t="str">
            <v>Controlador eletrônico de tráfego local, 4 fases.</v>
          </cell>
          <cell r="F292" t="str">
            <v xml:space="preserve"> un</v>
          </cell>
          <cell r="G292">
            <v>8268.98</v>
          </cell>
          <cell r="H292">
            <v>2</v>
          </cell>
        </row>
        <row r="293">
          <cell r="C293" t="str">
            <v>ST10100500</v>
          </cell>
          <cell r="D293">
            <v>289</v>
          </cell>
          <cell r="E293" t="str">
            <v>Controlador eletrônico de tráfego local, 6 fases.</v>
          </cell>
          <cell r="F293" t="str">
            <v xml:space="preserve"> un</v>
          </cell>
          <cell r="G293">
            <v>9048.98</v>
          </cell>
          <cell r="H293">
            <v>1</v>
          </cell>
        </row>
        <row r="294">
          <cell r="C294" t="str">
            <v>ST10100550</v>
          </cell>
          <cell r="D294">
            <v>290</v>
          </cell>
          <cell r="E294" t="str">
            <v>Controlador eletrônico de tráfego local, 8 fases.</v>
          </cell>
          <cell r="F294" t="str">
            <v xml:space="preserve"> un</v>
          </cell>
          <cell r="G294">
            <v>9828.98</v>
          </cell>
          <cell r="H294">
            <v>1</v>
          </cell>
        </row>
        <row r="295">
          <cell r="C295" t="str">
            <v>ST10100600</v>
          </cell>
          <cell r="D295">
            <v>291</v>
          </cell>
          <cell r="E295" t="str">
            <v>Controlador eletrônico de tráfego local, 10 fases.</v>
          </cell>
          <cell r="F295" t="str">
            <v xml:space="preserve"> un</v>
          </cell>
          <cell r="G295">
            <v>15372.94</v>
          </cell>
          <cell r="H295">
            <v>1</v>
          </cell>
        </row>
        <row r="296">
          <cell r="C296" t="str">
            <v>ST10100650</v>
          </cell>
          <cell r="D296">
            <v>292</v>
          </cell>
          <cell r="E296" t="str">
            <v>Controlador eletrônico de tráfego local, 12 fases.</v>
          </cell>
          <cell r="F296" t="str">
            <v xml:space="preserve"> un</v>
          </cell>
          <cell r="G296">
            <v>16152.94</v>
          </cell>
          <cell r="H296">
            <v>2</v>
          </cell>
        </row>
        <row r="297">
          <cell r="C297" t="str">
            <v>ST10150300</v>
          </cell>
          <cell r="D297">
            <v>293</v>
          </cell>
          <cell r="E297" t="str">
            <v>Conjunto semafórico para pedestre.</v>
          </cell>
          <cell r="F297" t="str">
            <v xml:space="preserve"> un</v>
          </cell>
          <cell r="G297">
            <v>1779.7</v>
          </cell>
          <cell r="H297">
            <v>20</v>
          </cell>
        </row>
        <row r="298">
          <cell r="C298" t="str">
            <v>ST25100150</v>
          </cell>
          <cell r="D298">
            <v>294</v>
          </cell>
          <cell r="E298" t="str">
            <v>Fornecimento de cabo comunicação de CTP-APL-50.</v>
          </cell>
          <cell r="F298" t="str">
            <v>m</v>
          </cell>
          <cell r="G298">
            <v>2.64</v>
          </cell>
          <cell r="H298">
            <v>220</v>
          </cell>
        </row>
        <row r="299">
          <cell r="C299" t="str">
            <v>ST25100300</v>
          </cell>
          <cell r="D299">
            <v>295</v>
          </cell>
          <cell r="E299" t="str">
            <v>Fornecimento de cabo comunicação de cobre, 0,65mm2.</v>
          </cell>
          <cell r="F299" t="str">
            <v>m</v>
          </cell>
          <cell r="G299">
            <v>0.97</v>
          </cell>
          <cell r="H299">
            <v>1215</v>
          </cell>
        </row>
        <row r="300">
          <cell r="C300" t="str">
            <v>ST25100400</v>
          </cell>
          <cell r="D300">
            <v>296</v>
          </cell>
          <cell r="E300" t="str">
            <v xml:space="preserve">Fornecimento de fio telefônico FE-100, ø de 1mm2.      </v>
          </cell>
          <cell r="F300" t="str">
            <v>m</v>
          </cell>
          <cell r="G300">
            <v>0.57999999999999996</v>
          </cell>
          <cell r="H300">
            <v>4618</v>
          </cell>
        </row>
        <row r="301">
          <cell r="C301" t="str">
            <v>ST25150050</v>
          </cell>
          <cell r="D301">
            <v>297</v>
          </cell>
          <cell r="E301" t="str">
            <v>Cabo de fibra ótico, monomodo, geleado.</v>
          </cell>
          <cell r="F301" t="str">
            <v>m</v>
          </cell>
          <cell r="G301">
            <v>3.99</v>
          </cell>
          <cell r="H301">
            <v>972</v>
          </cell>
        </row>
        <row r="302">
          <cell r="C302" t="str">
            <v>ST05050150</v>
          </cell>
          <cell r="D302">
            <v>298</v>
          </cell>
          <cell r="E302" t="str">
            <v>Laminado elastoplástico em faixas, colorido.</v>
          </cell>
          <cell r="F302" t="str">
            <v>m2</v>
          </cell>
          <cell r="G302">
            <v>67.95</v>
          </cell>
          <cell r="H302">
            <v>254</v>
          </cell>
        </row>
        <row r="303">
          <cell r="C303" t="str">
            <v>ST05050250</v>
          </cell>
          <cell r="D303">
            <v>299</v>
          </cell>
          <cell r="E303" t="str">
            <v>Laminado elastoplástico em faixas, cor branca.</v>
          </cell>
          <cell r="F303" t="str">
            <v>m2</v>
          </cell>
          <cell r="G303">
            <v>60.65</v>
          </cell>
          <cell r="H303">
            <v>254</v>
          </cell>
        </row>
        <row r="304">
          <cell r="C304" t="str">
            <v>ST10050050A</v>
          </cell>
          <cell r="D304">
            <v>300</v>
          </cell>
          <cell r="E304" t="str">
            <v>Cabo de cobre estanhado, seção de 7x2,5mm2.</v>
          </cell>
          <cell r="F304" t="str">
            <v>m</v>
          </cell>
          <cell r="G304">
            <v>4.8499999999999996</v>
          </cell>
          <cell r="H304">
            <v>1000</v>
          </cell>
        </row>
        <row r="305">
          <cell r="C305" t="str">
            <v>ST10050100A</v>
          </cell>
          <cell r="D305">
            <v>301</v>
          </cell>
          <cell r="E305" t="str">
            <v>Cabo de cobre estanhado, seção de 4x6mm2.</v>
          </cell>
          <cell r="F305" t="str">
            <v>m</v>
          </cell>
          <cell r="G305">
            <v>5.64</v>
          </cell>
          <cell r="H305">
            <v>400</v>
          </cell>
        </row>
        <row r="306">
          <cell r="C306" t="str">
            <v>ST10050150A</v>
          </cell>
          <cell r="D306">
            <v>302</v>
          </cell>
          <cell r="E306" t="str">
            <v>Cabo de cobre estanhado, seção de 4x10mm2.</v>
          </cell>
          <cell r="F306" t="str">
            <v>m</v>
          </cell>
          <cell r="G306">
            <v>8.77</v>
          </cell>
          <cell r="H306">
            <v>240</v>
          </cell>
        </row>
        <row r="307">
          <cell r="C307" t="str">
            <v>ST10050250A</v>
          </cell>
          <cell r="D307">
            <v>303</v>
          </cell>
          <cell r="E307" t="str">
            <v>Caixa com tampa de ferro leve 300L-400mm,CET-RIO.</v>
          </cell>
          <cell r="F307" t="str">
            <v>un</v>
          </cell>
          <cell r="G307">
            <v>72.06</v>
          </cell>
          <cell r="H307">
            <v>48</v>
          </cell>
        </row>
        <row r="308">
          <cell r="C308" t="str">
            <v>ST10200150A</v>
          </cell>
          <cell r="D308">
            <v>304</v>
          </cell>
          <cell r="E308" t="str">
            <v xml:space="preserve">Base de concreto armado para controlador de tráfego.  </v>
          </cell>
          <cell r="F308" t="str">
            <v>un</v>
          </cell>
          <cell r="G308">
            <v>49.39</v>
          </cell>
          <cell r="H308">
            <v>4</v>
          </cell>
        </row>
        <row r="309">
          <cell r="C309" t="str">
            <v>ST10200250A</v>
          </cell>
          <cell r="D309">
            <v>305</v>
          </cell>
          <cell r="E309" t="str">
            <v xml:space="preserve">Instalação, programação de controlador de tráfego.    </v>
          </cell>
          <cell r="F309" t="str">
            <v>un</v>
          </cell>
          <cell r="G309">
            <v>159.88</v>
          </cell>
          <cell r="H309">
            <v>4</v>
          </cell>
        </row>
        <row r="310">
          <cell r="C310" t="str">
            <v>ST10200300</v>
          </cell>
          <cell r="D310">
            <v>306</v>
          </cell>
          <cell r="E310" t="str">
            <v>Serviços de instalação de laços indutivos.</v>
          </cell>
          <cell r="F310" t="str">
            <v>un</v>
          </cell>
          <cell r="G310">
            <v>680</v>
          </cell>
          <cell r="H310">
            <v>7</v>
          </cell>
        </row>
        <row r="311">
          <cell r="C311" t="str">
            <v>ST15100200</v>
          </cell>
          <cell r="D311">
            <v>307</v>
          </cell>
          <cell r="E311" t="str">
            <v>Poste tipo G9, simples, de 2" de diâmetro.</v>
          </cell>
          <cell r="F311" t="str">
            <v>un</v>
          </cell>
          <cell r="G311">
            <v>163.80000000000001</v>
          </cell>
          <cell r="H311">
            <v>70</v>
          </cell>
        </row>
        <row r="312">
          <cell r="C312" t="str">
            <v>ST15100250</v>
          </cell>
          <cell r="D312">
            <v>308</v>
          </cell>
          <cell r="E312" t="str">
            <v>Poste tipo S5, simples, de 4" de diâmetro.</v>
          </cell>
          <cell r="F312" t="str">
            <v>un</v>
          </cell>
          <cell r="G312">
            <v>496.65</v>
          </cell>
          <cell r="H312">
            <v>19</v>
          </cell>
        </row>
        <row r="313">
          <cell r="C313" t="str">
            <v>ST15100350</v>
          </cell>
          <cell r="D313">
            <v>309</v>
          </cell>
          <cell r="E313" t="str">
            <v>Poste tipo G2 ou S2, coluna de 4 1/2" de diâmetro.</v>
          </cell>
          <cell r="F313" t="str">
            <v>un</v>
          </cell>
          <cell r="G313">
            <v>1234.8</v>
          </cell>
          <cell r="H313">
            <v>14</v>
          </cell>
        </row>
        <row r="314">
          <cell r="C314" t="str">
            <v>ST15100400</v>
          </cell>
          <cell r="D314">
            <v>310</v>
          </cell>
          <cell r="E314" t="str">
            <v>Poste tipo G1 ou S1, coluna de 4 1/2" de diâmetro.</v>
          </cell>
          <cell r="F314" t="str">
            <v>un</v>
          </cell>
          <cell r="G314">
            <v>1342.95</v>
          </cell>
          <cell r="H314">
            <v>15</v>
          </cell>
        </row>
        <row r="315">
          <cell r="C315" t="str">
            <v>ST25050300A</v>
          </cell>
          <cell r="D315">
            <v>311</v>
          </cell>
          <cell r="E315" t="str">
            <v>Instalação subterrânea de cabos de comunicação.</v>
          </cell>
          <cell r="F315" t="str">
            <v>m</v>
          </cell>
          <cell r="G315">
            <v>2.12</v>
          </cell>
          <cell r="H315">
            <v>5700</v>
          </cell>
        </row>
        <row r="316">
          <cell r="C316" t="str">
            <v>ST45150050</v>
          </cell>
          <cell r="D316">
            <v>312</v>
          </cell>
          <cell r="E316" t="str">
            <v>Caixa com tampa de ferro,leve 600L-600mmCET-RIO.</v>
          </cell>
          <cell r="F316" t="str">
            <v>un</v>
          </cell>
          <cell r="G316">
            <v>265.45</v>
          </cell>
          <cell r="H316">
            <v>55</v>
          </cell>
        </row>
        <row r="317">
          <cell r="C317" t="str">
            <v>ST45200050</v>
          </cell>
          <cell r="D317">
            <v>313</v>
          </cell>
          <cell r="E317" t="str">
            <v>Cabo de cobre estanhado, comando,XLPE 9x1,5mm2.</v>
          </cell>
          <cell r="F317" t="str">
            <v>m</v>
          </cell>
          <cell r="G317">
            <v>4.34</v>
          </cell>
          <cell r="H317">
            <v>1800</v>
          </cell>
        </row>
        <row r="318">
          <cell r="C318" t="str">
            <v>ST45200200</v>
          </cell>
          <cell r="D318">
            <v>314</v>
          </cell>
          <cell r="E318" t="str">
            <v xml:space="preserve">Instalação e teste de blocos semafóricos.  </v>
          </cell>
          <cell r="F318" t="str">
            <v>un</v>
          </cell>
          <cell r="G318">
            <v>54.85</v>
          </cell>
          <cell r="H318">
            <v>58</v>
          </cell>
        </row>
        <row r="320">
          <cell r="C320" t="str">
            <v>NOVOS</v>
          </cell>
        </row>
        <row r="321">
          <cell r="C321" t="str">
            <v>AD20150050/</v>
          </cell>
          <cell r="D321" t="str">
            <v>FGV</v>
          </cell>
          <cell r="E321" t="str">
            <v>Container para escritorio.</v>
          </cell>
          <cell r="F321" t="str">
            <v>un.mes</v>
          </cell>
          <cell r="G321">
            <v>494.18</v>
          </cell>
        </row>
        <row r="322">
          <cell r="C322" t="str">
            <v>AD20150150/</v>
          </cell>
          <cell r="D322" t="str">
            <v>FGV</v>
          </cell>
          <cell r="E322" t="str">
            <v>Container para WC.</v>
          </cell>
          <cell r="F322" t="str">
            <v>un.mes</v>
          </cell>
          <cell r="G322">
            <v>511.48</v>
          </cell>
        </row>
        <row r="323">
          <cell r="C323" t="str">
            <v>AD25050450/</v>
          </cell>
          <cell r="D323" t="str">
            <v>FGV</v>
          </cell>
          <cell r="E323" t="str">
            <v>Aluguel de rolo de tela plastica na cor laranja.</v>
          </cell>
          <cell r="F323" t="str">
            <v>m.mes</v>
          </cell>
          <cell r="G323">
            <v>1.79</v>
          </cell>
        </row>
        <row r="324">
          <cell r="C324" t="str">
            <v>AD40050050/</v>
          </cell>
          <cell r="D324" t="str">
            <v>FGV</v>
          </cell>
          <cell r="E324" t="str">
            <v>Ajudante (inclusive encargos sociais).</v>
          </cell>
          <cell r="F324" t="str">
            <v>h</v>
          </cell>
          <cell r="G324">
            <v>4.5599999999999996</v>
          </cell>
        </row>
        <row r="325">
          <cell r="C325" t="str">
            <v>AD40050128/</v>
          </cell>
          <cell r="D325" t="str">
            <v>FGV</v>
          </cell>
          <cell r="E325" t="str">
            <v>Engenheiro coordenador geral de projetos.</v>
          </cell>
          <cell r="F325" t="str">
            <v>h</v>
          </cell>
          <cell r="G325">
            <v>43.69</v>
          </cell>
        </row>
        <row r="326">
          <cell r="C326" t="str">
            <v>AD40050152/</v>
          </cell>
          <cell r="D326" t="str">
            <v>FGV</v>
          </cell>
          <cell r="E326" t="str">
            <v>Mestre de obra A (inclusive encargos sociais).</v>
          </cell>
          <cell r="F326" t="str">
            <v>h</v>
          </cell>
          <cell r="G326">
            <v>15.91</v>
          </cell>
        </row>
        <row r="327">
          <cell r="C327" t="str">
            <v>AD40050170/</v>
          </cell>
          <cell r="D327" t="str">
            <v>FGV</v>
          </cell>
          <cell r="E327" t="str">
            <v>Motorista de veiculo leve(inclusive encargos sociais).</v>
          </cell>
          <cell r="F327" t="str">
            <v>h</v>
          </cell>
          <cell r="G327">
            <v>4.99</v>
          </cell>
        </row>
        <row r="328">
          <cell r="C328" t="str">
            <v>AL05250450/</v>
          </cell>
          <cell r="D328" t="str">
            <v>FGV</v>
          </cell>
          <cell r="E328" t="str">
            <v>Alvenaria de blocos de concreto (20x20x40)cm.</v>
          </cell>
          <cell r="F328" t="str">
            <v>m2</v>
          </cell>
          <cell r="G328">
            <v>32.409999999999997</v>
          </cell>
        </row>
        <row r="329">
          <cell r="C329" t="str">
            <v>BP05050350</v>
          </cell>
          <cell r="D329" t="str">
            <v>FGV</v>
          </cell>
          <cell r="E329" t="str">
            <v>Execucao de pavimentacao de saibro arenoso.</v>
          </cell>
          <cell r="F329" t="str">
            <v>m2</v>
          </cell>
          <cell r="G329">
            <v>4.3499999999999996</v>
          </cell>
        </row>
        <row r="330">
          <cell r="C330" t="str">
            <v>BP10050653A</v>
          </cell>
          <cell r="D330" t="str">
            <v>FGV</v>
          </cell>
          <cell r="E330" t="str">
            <v>Revestimento de CBUQ, com 5cm de espessura.</v>
          </cell>
          <cell r="F330" t="str">
            <v>m2</v>
          </cell>
          <cell r="G330">
            <v>12.77</v>
          </cell>
        </row>
        <row r="331">
          <cell r="C331" t="str">
            <v>BP10250303/</v>
          </cell>
          <cell r="D331" t="str">
            <v>FGV</v>
          </cell>
          <cell r="E331" t="str">
            <v>Pavimentacao com paralelepipedos, colchao de pó.</v>
          </cell>
          <cell r="F331" t="str">
            <v>m2</v>
          </cell>
          <cell r="G331">
            <v>34.6</v>
          </cell>
        </row>
        <row r="332">
          <cell r="C332" t="str">
            <v>BP20200053/</v>
          </cell>
          <cell r="D332" t="str">
            <v>FGV</v>
          </cell>
          <cell r="E332" t="str">
            <v>Meio-fio de concreto pre-moldado altura de 0,45m.</v>
          </cell>
          <cell r="F332" t="str">
            <v>m</v>
          </cell>
          <cell r="G332">
            <v>21.71</v>
          </cell>
        </row>
        <row r="333">
          <cell r="C333" t="str">
            <v>CE05050050/</v>
          </cell>
          <cell r="D333" t="str">
            <v>FGV</v>
          </cell>
          <cell r="E333" t="str">
            <v>Prestacao de servicos de engenharia.</v>
          </cell>
          <cell r="F333" t="str">
            <v>hh</v>
          </cell>
          <cell r="G333">
            <v>39.4</v>
          </cell>
        </row>
        <row r="334">
          <cell r="C334" t="str">
            <v>DR30200050/</v>
          </cell>
          <cell r="D334" t="str">
            <v>FGV</v>
          </cell>
          <cell r="E334" t="str">
            <v>Caixa de inspecao de esgoto, 0,70m de profundidade.</v>
          </cell>
          <cell r="F334" t="str">
            <v>un</v>
          </cell>
          <cell r="G334">
            <v>245.86</v>
          </cell>
        </row>
        <row r="335">
          <cell r="C335" t="str">
            <v>DR35050053/</v>
          </cell>
          <cell r="D335" t="str">
            <v>FGV</v>
          </cell>
          <cell r="E335" t="str">
            <v>Tampao de ferro fundido leve ø0,60m padrao RIOLUZ.</v>
          </cell>
          <cell r="F335" t="str">
            <v xml:space="preserve">un  </v>
          </cell>
          <cell r="G335">
            <v>206.59</v>
          </cell>
        </row>
        <row r="336">
          <cell r="C336" t="str">
            <v>DR55050050/</v>
          </cell>
          <cell r="D336" t="str">
            <v>FGV</v>
          </cell>
          <cell r="E336" t="str">
            <v>Camada horizontal de brita.</v>
          </cell>
          <cell r="F336" t="str">
            <v>m3</v>
          </cell>
          <cell r="G336">
            <v>41.32</v>
          </cell>
        </row>
        <row r="337">
          <cell r="C337" t="str">
            <v>EQ45050150/</v>
          </cell>
          <cell r="D337" t="str">
            <v>FGV</v>
          </cell>
          <cell r="E337" t="str">
            <v>Compressor de ar. Aluguel produtivo.</v>
          </cell>
          <cell r="F337" t="str">
            <v>h</v>
          </cell>
          <cell r="G337">
            <v>26.28</v>
          </cell>
        </row>
        <row r="338">
          <cell r="C338" t="str">
            <v>ET05600050/</v>
          </cell>
          <cell r="D338" t="str">
            <v>FGV</v>
          </cell>
          <cell r="E338" t="str">
            <v>Concreto armado de 15MPa.</v>
          </cell>
          <cell r="F338" t="str">
            <v>m3</v>
          </cell>
          <cell r="G338">
            <v>700.29</v>
          </cell>
        </row>
        <row r="339">
          <cell r="C339" t="str">
            <v>ET40050121/</v>
          </cell>
          <cell r="D339" t="str">
            <v>FGV</v>
          </cell>
          <cell r="E339" t="str">
            <v>Tela de aco Telcon com malha de (10x10)cm.</v>
          </cell>
          <cell r="F339" t="str">
            <v>m2</v>
          </cell>
          <cell r="G339">
            <v>24.52</v>
          </cell>
        </row>
        <row r="340">
          <cell r="C340" t="str">
            <v>ET60050053/</v>
          </cell>
          <cell r="D340" t="str">
            <v>FGV</v>
          </cell>
          <cell r="E340" t="str">
            <v>Concreto usinado 11MPa.</v>
          </cell>
          <cell r="F340" t="str">
            <v>m3</v>
          </cell>
          <cell r="G340">
            <v>166.68</v>
          </cell>
        </row>
        <row r="341">
          <cell r="C341" t="str">
            <v>ET60050068/</v>
          </cell>
          <cell r="D341" t="str">
            <v>FGV</v>
          </cell>
          <cell r="E341" t="str">
            <v>Concreto usinado 22,5MPa.</v>
          </cell>
          <cell r="F341" t="str">
            <v>m3</v>
          </cell>
          <cell r="G341">
            <v>209.87</v>
          </cell>
        </row>
        <row r="342">
          <cell r="C342" t="str">
            <v>ET60050100/</v>
          </cell>
          <cell r="D342" t="str">
            <v>FGV</v>
          </cell>
          <cell r="E342" t="str">
            <v>Concreto usinado 40Mpa.</v>
          </cell>
          <cell r="F342" t="str">
            <v>m3</v>
          </cell>
          <cell r="G342">
            <v>274.33999999999997</v>
          </cell>
        </row>
        <row r="343">
          <cell r="C343" t="str">
            <v>IP05100400/</v>
          </cell>
          <cell r="D343" t="str">
            <v>FGV</v>
          </cell>
          <cell r="E343" t="str">
            <v>Poste Multi-Uso de aco, reto, cilindrico de 5,60m.</v>
          </cell>
          <cell r="F343" t="str">
            <v>par</v>
          </cell>
          <cell r="G343">
            <v>1366</v>
          </cell>
        </row>
        <row r="344">
          <cell r="C344" t="str">
            <v>IP05100850/</v>
          </cell>
          <cell r="D344" t="str">
            <v>FGV</v>
          </cell>
          <cell r="E344" t="str">
            <v>Poste Multi-Uso de aco, reto, cilindrico de 9,5m.</v>
          </cell>
          <cell r="F344" t="str">
            <v>un</v>
          </cell>
          <cell r="G344">
            <v>2656.14</v>
          </cell>
        </row>
        <row r="345">
          <cell r="C345" t="str">
            <v>IP05250150/</v>
          </cell>
          <cell r="D345" t="str">
            <v>FGV</v>
          </cell>
          <cell r="E345" t="str">
            <v>Poste de aco, reto, de 4,50m ate 6m. Assentamento.</v>
          </cell>
          <cell r="F345" t="str">
            <v>un</v>
          </cell>
          <cell r="G345">
            <v>53.59</v>
          </cell>
        </row>
        <row r="346">
          <cell r="C346" t="str">
            <v>IP05250200/</v>
          </cell>
          <cell r="D346" t="str">
            <v>FGV</v>
          </cell>
          <cell r="E346" t="str">
            <v>Poste de aco, reto, de 7m ate 12m. Assentamento.</v>
          </cell>
          <cell r="F346" t="str">
            <v>un</v>
          </cell>
          <cell r="G346">
            <v>108.83</v>
          </cell>
        </row>
        <row r="347">
          <cell r="C347" t="str">
            <v>IP05500050/</v>
          </cell>
          <cell r="D347" t="str">
            <v>FGV</v>
          </cell>
          <cell r="E347" t="str">
            <v>Braco para luminaria de 0,39m.</v>
          </cell>
          <cell r="F347" t="str">
            <v>par</v>
          </cell>
          <cell r="G347">
            <v>63</v>
          </cell>
        </row>
        <row r="348">
          <cell r="C348" t="str">
            <v>IP05500250/</v>
          </cell>
          <cell r="D348" t="str">
            <v>FGV</v>
          </cell>
          <cell r="E348" t="str">
            <v>Braco para luminaria de 1,35m.</v>
          </cell>
          <cell r="F348" t="str">
            <v>par</v>
          </cell>
          <cell r="G348">
            <v>115</v>
          </cell>
        </row>
        <row r="349">
          <cell r="C349" t="str">
            <v>IP05550050/</v>
          </cell>
          <cell r="D349" t="str">
            <v>FGV</v>
          </cell>
          <cell r="E349" t="str">
            <v>Braco, padrao RIOLUZ.  Colocacao.</v>
          </cell>
          <cell r="F349" t="str">
            <v>un</v>
          </cell>
          <cell r="G349">
            <v>9.76</v>
          </cell>
        </row>
        <row r="350">
          <cell r="C350" t="str">
            <v>IP05600050/</v>
          </cell>
          <cell r="D350" t="str">
            <v>FGV</v>
          </cell>
          <cell r="E350" t="str">
            <v>Pintura de braco com 2 demaos de tinta Aluminac.</v>
          </cell>
          <cell r="F350" t="str">
            <v>un</v>
          </cell>
          <cell r="G350">
            <v>12.29</v>
          </cell>
        </row>
        <row r="351">
          <cell r="C351" t="str">
            <v>IP05600103/</v>
          </cell>
          <cell r="D351" t="str">
            <v>FGV</v>
          </cell>
          <cell r="E351" t="str">
            <v>Pintura de poste de aco, reto, de 4,5m ate 6m.</v>
          </cell>
          <cell r="F351" t="str">
            <v>un</v>
          </cell>
          <cell r="G351">
            <v>14.73</v>
          </cell>
        </row>
        <row r="352">
          <cell r="C352" t="str">
            <v>IP05600109/</v>
          </cell>
          <cell r="D352" t="str">
            <v>FGV</v>
          </cell>
          <cell r="E352" t="str">
            <v>Pintura de poste de aco reto, de 10m ate 15m.</v>
          </cell>
          <cell r="F352" t="str">
            <v>un</v>
          </cell>
          <cell r="G352">
            <v>54.04</v>
          </cell>
        </row>
        <row r="353">
          <cell r="C353" t="str">
            <v>IP25100025/</v>
          </cell>
          <cell r="D353" t="str">
            <v>FGV</v>
          </cell>
          <cell r="E353" t="str">
            <v>Caixa Hand-Hole, padrao RIOLUZ, (0,30x0,30)m.</v>
          </cell>
          <cell r="F353" t="str">
            <v xml:space="preserve">un  </v>
          </cell>
          <cell r="G353">
            <v>26.29</v>
          </cell>
        </row>
        <row r="354">
          <cell r="C354" t="str">
            <v>IP25200050/</v>
          </cell>
          <cell r="D354" t="str">
            <v>FGV</v>
          </cell>
          <cell r="E354" t="str">
            <v>Tampao de ferro tipo leve padrao RIOLUZ.</v>
          </cell>
          <cell r="F354" t="str">
            <v>un</v>
          </cell>
          <cell r="G354">
            <v>188.93</v>
          </cell>
        </row>
        <row r="355">
          <cell r="C355" t="str">
            <v>IP45050250/</v>
          </cell>
          <cell r="D355" t="str">
            <v>FGV</v>
          </cell>
          <cell r="E355" t="str">
            <v>Rele fotoeletrico, tipo NA, tensao de 127V, 1200VA.</v>
          </cell>
          <cell r="F355" t="str">
            <v>un</v>
          </cell>
          <cell r="G355">
            <v>11.85</v>
          </cell>
        </row>
        <row r="356">
          <cell r="C356" t="str">
            <v>IP50050059/</v>
          </cell>
          <cell r="D356" t="str">
            <v>FGV</v>
          </cell>
          <cell r="E356" t="str">
            <v>Luminaria LRJ-25 para lampada de 70W ovoide.</v>
          </cell>
          <cell r="F356" t="str">
            <v>un</v>
          </cell>
          <cell r="G356">
            <v>305.18</v>
          </cell>
        </row>
        <row r="357">
          <cell r="C357" t="str">
            <v>IP50050250/</v>
          </cell>
          <cell r="D357" t="str">
            <v>FGV</v>
          </cell>
          <cell r="E357" t="str">
            <v>Luminaria LRJ-24 para lampada de 250W tubular.</v>
          </cell>
          <cell r="F357" t="str">
            <v>un</v>
          </cell>
          <cell r="G357">
            <v>361.15</v>
          </cell>
        </row>
        <row r="358">
          <cell r="C358" t="str">
            <v>IP50200106/</v>
          </cell>
          <cell r="D358" t="str">
            <v>FGV</v>
          </cell>
          <cell r="E358" t="str">
            <v>Nucleo simples para luminarias LRJ-09/16/25.</v>
          </cell>
          <cell r="F358" t="str">
            <v>un</v>
          </cell>
          <cell r="G358">
            <v>40</v>
          </cell>
        </row>
        <row r="359">
          <cell r="C359" t="str">
            <v>IP50200150/</v>
          </cell>
          <cell r="D359" t="str">
            <v>FGV</v>
          </cell>
          <cell r="E359" t="str">
            <v>Nucleo duplo para luminarias LRJ-01/17/23/24/30/31.</v>
          </cell>
          <cell r="F359" t="str">
            <v>un</v>
          </cell>
          <cell r="G359">
            <v>67</v>
          </cell>
        </row>
        <row r="360">
          <cell r="C360" t="str">
            <v>IP50250421/</v>
          </cell>
          <cell r="D360" t="str">
            <v>FGV</v>
          </cell>
          <cell r="E360" t="str">
            <v>Lampada de multivapor metalica (MVM) de 250W.</v>
          </cell>
          <cell r="F360" t="str">
            <v>un</v>
          </cell>
          <cell r="G360">
            <v>83.9</v>
          </cell>
        </row>
        <row r="361">
          <cell r="C361" t="str">
            <v>IP50400103/</v>
          </cell>
          <cell r="D361" t="str">
            <v>FGV</v>
          </cell>
          <cell r="E361" t="str">
            <v>Luminaria fechada com lampada de descarga.</v>
          </cell>
          <cell r="F361" t="str">
            <v>un</v>
          </cell>
          <cell r="G361">
            <v>9.76</v>
          </cell>
        </row>
        <row r="362">
          <cell r="C362" t="str">
            <v>IP55150100/</v>
          </cell>
          <cell r="D362" t="str">
            <v>FGV</v>
          </cell>
          <cell r="E362" t="str">
            <v>Chumbador para fixacao de poste de aco.</v>
          </cell>
          <cell r="F362" t="str">
            <v>un</v>
          </cell>
          <cell r="G362">
            <v>27.89</v>
          </cell>
        </row>
        <row r="363">
          <cell r="C363" t="str">
            <v>IT10400050/</v>
          </cell>
          <cell r="D363" t="str">
            <v>FGV</v>
          </cell>
          <cell r="E363" t="str">
            <v>Ligacao domiciliar de agua.</v>
          </cell>
          <cell r="F363" t="str">
            <v>un</v>
          </cell>
          <cell r="G363">
            <v>96.69</v>
          </cell>
        </row>
        <row r="364">
          <cell r="C364" t="str">
            <v>IT25100121/</v>
          </cell>
          <cell r="D364" t="str">
            <v>FGV</v>
          </cell>
          <cell r="E364" t="str">
            <v>Kanalex diametro de 125mm (5" ).</v>
          </cell>
          <cell r="F364" t="str">
            <v>m</v>
          </cell>
          <cell r="G364">
            <v>10.89</v>
          </cell>
        </row>
        <row r="365">
          <cell r="C365" t="str">
            <v>IT15600100/</v>
          </cell>
          <cell r="D365" t="str">
            <v>FGV</v>
          </cell>
          <cell r="E365" t="str">
            <v>Ligacao de esgoto sanitario, em manilha de 100mm.</v>
          </cell>
          <cell r="F365" t="str">
            <v>un</v>
          </cell>
          <cell r="G365">
            <v>344.53</v>
          </cell>
        </row>
        <row r="366">
          <cell r="C366" t="str">
            <v>MT05100100/</v>
          </cell>
          <cell r="D366" t="str">
            <v>FGV</v>
          </cell>
          <cell r="E366" t="str">
            <v>Escavacao manual de vala a frio.</v>
          </cell>
          <cell r="F366" t="str">
            <v>m3</v>
          </cell>
          <cell r="G366">
            <v>22.26</v>
          </cell>
        </row>
        <row r="367">
          <cell r="C367" t="str">
            <v>MT05150050/</v>
          </cell>
          <cell r="D367" t="str">
            <v>FGV</v>
          </cell>
          <cell r="E367" t="str">
            <v>Escavacao manual de vala em lodo, ate 1,50m.</v>
          </cell>
          <cell r="F367" t="str">
            <v>m3</v>
          </cell>
          <cell r="G367">
            <v>24.36</v>
          </cell>
        </row>
        <row r="368">
          <cell r="C368" t="str">
            <v>RV10050215/</v>
          </cell>
          <cell r="D368" t="str">
            <v>FGV</v>
          </cell>
          <cell r="E368" t="str">
            <v>Revestimento externo, de 1 vez.</v>
          </cell>
          <cell r="F368" t="str">
            <v>m2</v>
          </cell>
          <cell r="G368">
            <v>17.29</v>
          </cell>
        </row>
        <row r="369">
          <cell r="C369" t="str">
            <v>RV15950053</v>
          </cell>
          <cell r="D369" t="str">
            <v>FGV</v>
          </cell>
          <cell r="E369" t="str">
            <v>Piso de alerta em placas marmorizadas, cor vermelha.</v>
          </cell>
          <cell r="F369" t="str">
            <v>m2</v>
          </cell>
          <cell r="G369">
            <v>55.17</v>
          </cell>
        </row>
        <row r="370">
          <cell r="C370" t="str">
            <v>SC05100350/</v>
          </cell>
          <cell r="D370" t="str">
            <v>FGV</v>
          </cell>
          <cell r="E370" t="str">
            <v>Demolicao com equipamento concreto asfaltico 5cm.</v>
          </cell>
          <cell r="F370" t="str">
            <v>m2</v>
          </cell>
          <cell r="G370">
            <v>5.0999999999999996</v>
          </cell>
        </row>
        <row r="371">
          <cell r="C371" t="str">
            <v>SC05100400/</v>
          </cell>
          <cell r="D371" t="str">
            <v>FGV</v>
          </cell>
          <cell r="E371" t="str">
            <v>Demolicao com equipamento concreto asfaltico 10cm.</v>
          </cell>
          <cell r="F371" t="str">
            <v>m2</v>
          </cell>
          <cell r="G371">
            <v>7.64</v>
          </cell>
        </row>
        <row r="372">
          <cell r="C372" t="str">
            <v>SC05100450/</v>
          </cell>
          <cell r="D372" t="str">
            <v>FGV</v>
          </cell>
          <cell r="E372" t="str">
            <v>Demolicao equipamento concreto asfaltico 5cm l=1,20m.</v>
          </cell>
          <cell r="F372" t="str">
            <v>m2</v>
          </cell>
          <cell r="G372">
            <v>5.99</v>
          </cell>
        </row>
        <row r="373">
          <cell r="C373" t="str">
            <v>SC10100100/</v>
          </cell>
          <cell r="D373" t="str">
            <v>FGV</v>
          </cell>
          <cell r="E373" t="str">
            <v>Operador de trafego, nivel junior.</v>
          </cell>
          <cell r="F373" t="str">
            <v>h</v>
          </cell>
          <cell r="G373">
            <v>10.1</v>
          </cell>
        </row>
        <row r="374">
          <cell r="C374" t="str">
            <v>SC35050100/</v>
          </cell>
          <cell r="D374" t="str">
            <v>FGV</v>
          </cell>
          <cell r="E374" t="str">
            <v>Levantamento ou rebaixamento de tampao, calçada.</v>
          </cell>
          <cell r="F374" t="str">
            <v>un</v>
          </cell>
          <cell r="G374">
            <v>75.849999999999994</v>
          </cell>
        </row>
        <row r="375">
          <cell r="C375" t="str">
            <v>SE20100253/</v>
          </cell>
          <cell r="D375" t="str">
            <v>FGV</v>
          </cell>
          <cell r="E375" t="str">
            <v>Levantamento topografico planialtimetrico e cadastral.</v>
          </cell>
          <cell r="F375" t="str">
            <v>ha</v>
          </cell>
          <cell r="G375">
            <v>2252.4299999999998</v>
          </cell>
        </row>
        <row r="376">
          <cell r="C376" t="str">
            <v>ST05051050/</v>
          </cell>
          <cell r="D376" t="str">
            <v>FGV</v>
          </cell>
          <cell r="E376" t="str">
            <v>Sinalizacao horizontal aplicada por aspersao.</v>
          </cell>
          <cell r="F376" t="str">
            <v>m2</v>
          </cell>
          <cell r="G376">
            <v>20.149999999999999</v>
          </cell>
        </row>
        <row r="377">
          <cell r="C377" t="str">
            <v>ST10150350/</v>
          </cell>
          <cell r="D377" t="str">
            <v>FGV</v>
          </cell>
          <cell r="E377" t="str">
            <v>Conjunto semaforico principal.</v>
          </cell>
          <cell r="F377" t="str">
            <v>un</v>
          </cell>
          <cell r="G377">
            <v>4662</v>
          </cell>
        </row>
        <row r="378">
          <cell r="C378" t="str">
            <v>ST10150400/</v>
          </cell>
          <cell r="D378" t="str">
            <v>FGV</v>
          </cell>
          <cell r="E378" t="str">
            <v>Conjunto semaforico repetidor.</v>
          </cell>
          <cell r="F378" t="str">
            <v>un</v>
          </cell>
          <cell r="G378">
            <v>2243.85</v>
          </cell>
        </row>
        <row r="379">
          <cell r="C379" t="str">
            <v>ST20100050/</v>
          </cell>
          <cell r="D379" t="str">
            <v>FGV</v>
          </cell>
          <cell r="E379" t="str">
            <v>Aluguel mensal de radio transmissor-receptor.</v>
          </cell>
          <cell r="F379" t="str">
            <v>mes</v>
          </cell>
          <cell r="G379">
            <v>70</v>
          </cell>
        </row>
        <row r="380">
          <cell r="C380" t="str">
            <v>ST45150100/</v>
          </cell>
          <cell r="D380" t="str">
            <v>FGV</v>
          </cell>
          <cell r="E380" t="str">
            <v>Caixa com tampa de ferro leve 600L-900mm,CET-RIO.</v>
          </cell>
          <cell r="F380" t="str">
            <v xml:space="preserve">un  </v>
          </cell>
          <cell r="G380">
            <v>295.7</v>
          </cell>
        </row>
        <row r="381">
          <cell r="C381" t="str">
            <v>ST15050100/</v>
          </cell>
          <cell r="D381" t="str">
            <v>FGV</v>
          </cell>
          <cell r="E381" t="str">
            <v>Portico, coluna tubular, em aco galvanizado.</v>
          </cell>
          <cell r="F381" t="str">
            <v>un</v>
          </cell>
          <cell r="G381">
            <v>35622.78</v>
          </cell>
        </row>
        <row r="382">
          <cell r="C382" t="str">
            <v>TC05100050/</v>
          </cell>
          <cell r="D382" t="str">
            <v>FGV</v>
          </cell>
          <cell r="E382" t="str">
            <v>Transporte horizontal material em carrinho de mao.</v>
          </cell>
          <cell r="F382" t="str">
            <v>t.dam</v>
          </cell>
          <cell r="G382">
            <v>1.19</v>
          </cell>
        </row>
        <row r="383">
          <cell r="C383" t="str">
            <v>TC10050050/</v>
          </cell>
          <cell r="D383" t="str">
            <v>FGV</v>
          </cell>
          <cell r="E383" t="str">
            <v>Carga e descarga manual de material.</v>
          </cell>
          <cell r="F383" t="str">
            <v>t</v>
          </cell>
          <cell r="G383">
            <v>20.36</v>
          </cell>
        </row>
        <row r="384">
          <cell r="C384" t="str">
            <v>TC10050350/</v>
          </cell>
          <cell r="D384" t="str">
            <v>FGV</v>
          </cell>
          <cell r="E384" t="str">
            <v>Carga e descarga mecanica, com Pa-Carregadeira.</v>
          </cell>
          <cell r="F384" t="str">
            <v xml:space="preserve">t </v>
          </cell>
          <cell r="G384">
            <v>0.51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lições_Volume"/>
      <sheetName val="Demolições_Área-2"/>
      <sheetName val="Acabamentos"/>
      <sheetName val="Meio-fio"/>
      <sheetName val="Ilum. pública"/>
      <sheetName val="Pavimentação"/>
      <sheetName val="Sinalização Trafego"/>
      <sheetName val="Mobiliário urbano"/>
      <sheetName val="Drenagem"/>
      <sheetName val="Redes_Ruas"/>
      <sheetName val="Infra-redes..."/>
      <sheetName val="Qtde FRG"/>
      <sheetName val="Planilha auxiliar por i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D6" t="str">
            <v>SHOPPING</v>
          </cell>
          <cell r="E6" t="str">
            <v>GABINAL</v>
          </cell>
          <cell r="F6" t="str">
            <v>MC DONALD`S</v>
          </cell>
          <cell r="G6" t="str">
            <v>SANGRADOR</v>
          </cell>
          <cell r="H6" t="str">
            <v>SENDAS</v>
          </cell>
          <cell r="I6" t="str">
            <v>GEREMÁRIO DANTAS</v>
          </cell>
          <cell r="J6" t="str">
            <v>ENC 1</v>
          </cell>
          <cell r="K6" t="str">
            <v>TRÊS RIOS</v>
          </cell>
          <cell r="L6" t="str">
            <v>ENC 2</v>
          </cell>
          <cell r="M6" t="str">
            <v>PASSARELA</v>
          </cell>
          <cell r="N6" t="str">
            <v>ENC 3</v>
          </cell>
          <cell r="O6" t="str">
            <v>JACAREPAGUÁ</v>
          </cell>
          <cell r="Q6" t="str">
            <v>TOTAL GERAL</v>
          </cell>
        </row>
        <row r="8">
          <cell r="D8">
            <v>29</v>
          </cell>
          <cell r="E8">
            <v>35</v>
          </cell>
          <cell r="F8">
            <v>45</v>
          </cell>
          <cell r="G8">
            <v>163</v>
          </cell>
          <cell r="I8">
            <v>177</v>
          </cell>
          <cell r="J8">
            <v>101</v>
          </cell>
          <cell r="K8">
            <v>154</v>
          </cell>
          <cell r="L8">
            <v>21</v>
          </cell>
          <cell r="M8">
            <v>87</v>
          </cell>
          <cell r="N8">
            <v>89</v>
          </cell>
          <cell r="O8">
            <v>128</v>
          </cell>
          <cell r="Q8">
            <v>1029</v>
          </cell>
        </row>
        <row r="9">
          <cell r="D9">
            <v>64</v>
          </cell>
          <cell r="E9">
            <v>51</v>
          </cell>
          <cell r="F9">
            <v>94</v>
          </cell>
          <cell r="I9">
            <v>43</v>
          </cell>
          <cell r="J9">
            <v>18</v>
          </cell>
          <cell r="K9">
            <v>50</v>
          </cell>
          <cell r="N9">
            <v>48</v>
          </cell>
          <cell r="Q9">
            <v>368</v>
          </cell>
        </row>
        <row r="10">
          <cell r="D10">
            <v>22</v>
          </cell>
          <cell r="N10">
            <v>25</v>
          </cell>
          <cell r="Q10">
            <v>47</v>
          </cell>
        </row>
        <row r="11">
          <cell r="D11">
            <v>13</v>
          </cell>
          <cell r="E11">
            <v>150</v>
          </cell>
          <cell r="K11">
            <v>144</v>
          </cell>
          <cell r="N11">
            <v>60</v>
          </cell>
          <cell r="Q11">
            <v>367</v>
          </cell>
        </row>
        <row r="12">
          <cell r="N12">
            <v>52</v>
          </cell>
          <cell r="Q12">
            <v>52</v>
          </cell>
        </row>
        <row r="13">
          <cell r="D13">
            <v>142</v>
          </cell>
          <cell r="K13">
            <v>120</v>
          </cell>
          <cell r="M13">
            <v>138</v>
          </cell>
          <cell r="N13">
            <v>48</v>
          </cell>
          <cell r="Q13">
            <v>448</v>
          </cell>
        </row>
        <row r="14">
          <cell r="J14">
            <v>78</v>
          </cell>
          <cell r="K14">
            <v>150</v>
          </cell>
          <cell r="L14">
            <v>69</v>
          </cell>
          <cell r="Q14">
            <v>297</v>
          </cell>
        </row>
        <row r="15">
          <cell r="Q15">
            <v>0</v>
          </cell>
        </row>
        <row r="16">
          <cell r="I16">
            <v>3</v>
          </cell>
          <cell r="O16">
            <v>2</v>
          </cell>
          <cell r="Q16">
            <v>5</v>
          </cell>
          <cell r="R16">
            <v>26</v>
          </cell>
        </row>
        <row r="17">
          <cell r="E17">
            <v>1</v>
          </cell>
          <cell r="I17">
            <v>3</v>
          </cell>
          <cell r="O17">
            <v>1</v>
          </cell>
          <cell r="Q17">
            <v>5</v>
          </cell>
        </row>
        <row r="18">
          <cell r="D18">
            <v>1</v>
          </cell>
          <cell r="N18">
            <v>1</v>
          </cell>
          <cell r="Q18">
            <v>2</v>
          </cell>
        </row>
        <row r="19">
          <cell r="D19">
            <v>1</v>
          </cell>
          <cell r="E19">
            <v>6</v>
          </cell>
          <cell r="K19">
            <v>6</v>
          </cell>
          <cell r="N19">
            <v>1</v>
          </cell>
          <cell r="Q19">
            <v>14</v>
          </cell>
        </row>
        <row r="20">
          <cell r="N20">
            <v>2</v>
          </cell>
          <cell r="Q20">
            <v>2</v>
          </cell>
        </row>
        <row r="21">
          <cell r="D21">
            <v>4</v>
          </cell>
          <cell r="K21">
            <v>4</v>
          </cell>
          <cell r="M21">
            <v>4</v>
          </cell>
          <cell r="N21">
            <v>3</v>
          </cell>
          <cell r="Q21">
            <v>15</v>
          </cell>
        </row>
        <row r="22">
          <cell r="J22">
            <v>4</v>
          </cell>
          <cell r="K22">
            <v>5</v>
          </cell>
          <cell r="L22">
            <v>1</v>
          </cell>
          <cell r="Q22">
            <v>10</v>
          </cell>
        </row>
        <row r="23">
          <cell r="D23">
            <v>33</v>
          </cell>
          <cell r="E23">
            <v>16</v>
          </cell>
          <cell r="F23">
            <v>23</v>
          </cell>
          <cell r="G23">
            <v>9</v>
          </cell>
          <cell r="H23">
            <v>0</v>
          </cell>
          <cell r="I23">
            <v>15</v>
          </cell>
          <cell r="J23">
            <v>15</v>
          </cell>
          <cell r="K23">
            <v>63</v>
          </cell>
          <cell r="L23">
            <v>4</v>
          </cell>
          <cell r="M23">
            <v>12</v>
          </cell>
          <cell r="N23">
            <v>32</v>
          </cell>
          <cell r="O23">
            <v>10</v>
          </cell>
          <cell r="Q23">
            <v>232</v>
          </cell>
        </row>
        <row r="24">
          <cell r="D24">
            <v>6</v>
          </cell>
          <cell r="E24">
            <v>2</v>
          </cell>
          <cell r="F24">
            <v>12</v>
          </cell>
          <cell r="G24">
            <v>9</v>
          </cell>
          <cell r="I24">
            <v>5</v>
          </cell>
          <cell r="J24">
            <v>8</v>
          </cell>
          <cell r="K24">
            <v>7</v>
          </cell>
          <cell r="L24">
            <v>4</v>
          </cell>
          <cell r="M24">
            <v>12</v>
          </cell>
          <cell r="N24">
            <v>16</v>
          </cell>
          <cell r="O24">
            <v>10</v>
          </cell>
          <cell r="Q24">
            <v>91</v>
          </cell>
        </row>
        <row r="25">
          <cell r="E25">
            <v>1</v>
          </cell>
          <cell r="F25">
            <v>1</v>
          </cell>
          <cell r="I25">
            <v>5</v>
          </cell>
          <cell r="J25">
            <v>2</v>
          </cell>
          <cell r="K25">
            <v>13</v>
          </cell>
          <cell r="N25">
            <v>2</v>
          </cell>
          <cell r="Q25">
            <v>24</v>
          </cell>
        </row>
        <row r="26">
          <cell r="D26">
            <v>9</v>
          </cell>
          <cell r="E26">
            <v>4</v>
          </cell>
          <cell r="F26">
            <v>3</v>
          </cell>
          <cell r="J26">
            <v>1</v>
          </cell>
          <cell r="K26">
            <v>10</v>
          </cell>
          <cell r="N26">
            <v>4</v>
          </cell>
          <cell r="Q26">
            <v>31</v>
          </cell>
        </row>
        <row r="27">
          <cell r="F27">
            <v>2</v>
          </cell>
          <cell r="Q27">
            <v>2</v>
          </cell>
        </row>
        <row r="29">
          <cell r="G29">
            <v>270</v>
          </cell>
          <cell r="Q29">
            <v>270</v>
          </cell>
        </row>
        <row r="30">
          <cell r="Q30">
            <v>0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PLANILHA QUANTITATIVA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 DE PROJETOS"/>
      <sheetName val="ENC.SOC."/>
      <sheetName val="ADM. 1"/>
      <sheetName val="MOB.2"/>
      <sheetName val="SER.PREL.3"/>
      <sheetName val="CANT.4"/>
      <sheetName val="MOV. TER. 5"/>
      <sheetName val="PAV. 6"/>
      <sheetName val="URB. 7"/>
      <sheetName val="PLAY. 8"/>
      <sheetName val="QUIOSQ. 9"/>
      <sheetName val="FONTE 10"/>
      <sheetName val="CONCH. 11"/>
      <sheetName val="PORT. 12"/>
      <sheetName val="ELÉTRICO. 13"/>
      <sheetName val="SERV. DIV. 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F7"/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-VIG_FUND-AGO2000"/>
    </sheetNames>
    <sheetDataSet>
      <sheetData sheetId="0">
        <row r="13">
          <cell r="B13">
            <v>1</v>
          </cell>
          <cell r="C13">
            <v>0.15</v>
          </cell>
          <cell r="D13">
            <v>0.2</v>
          </cell>
          <cell r="E13">
            <v>0.5</v>
          </cell>
          <cell r="F13">
            <v>0.1</v>
          </cell>
          <cell r="G13">
            <v>2.25</v>
          </cell>
          <cell r="H13">
            <v>0.47249999999999998</v>
          </cell>
          <cell r="I13">
            <v>0.78749999999999998</v>
          </cell>
          <cell r="J13">
            <v>2.8125000000000001E-2</v>
          </cell>
          <cell r="K13">
            <v>2.25</v>
          </cell>
          <cell r="L13">
            <v>0.16874999999999998</v>
          </cell>
        </row>
        <row r="14">
          <cell r="B14">
            <v>1</v>
          </cell>
          <cell r="C14">
            <v>0.2</v>
          </cell>
          <cell r="D14">
            <v>0.2</v>
          </cell>
          <cell r="E14">
            <v>0.5</v>
          </cell>
          <cell r="F14">
            <v>0.1</v>
          </cell>
          <cell r="G14">
            <v>18.257000000000005</v>
          </cell>
          <cell r="H14">
            <v>4.3816800000000011</v>
          </cell>
          <cell r="I14">
            <v>7.3028000000000022</v>
          </cell>
          <cell r="J14">
            <v>0.27385500000000013</v>
          </cell>
          <cell r="K14">
            <v>18.257000000000005</v>
          </cell>
          <cell r="L14">
            <v>1.8257000000000005</v>
          </cell>
        </row>
        <row r="15">
          <cell r="B15">
            <v>1</v>
          </cell>
          <cell r="C15">
            <v>0.25</v>
          </cell>
          <cell r="D15">
            <v>0.2</v>
          </cell>
          <cell r="E15">
            <v>0.6</v>
          </cell>
          <cell r="F15">
            <v>0.1</v>
          </cell>
          <cell r="G15">
            <v>5.1250000000000009</v>
          </cell>
          <cell r="H15">
            <v>1.6143750000000003</v>
          </cell>
          <cell r="I15">
            <v>2.3062500000000004</v>
          </cell>
          <cell r="J15">
            <v>8.9687500000000017E-2</v>
          </cell>
          <cell r="K15">
            <v>6.1500000000000012</v>
          </cell>
          <cell r="L15">
            <v>0.76875000000000016</v>
          </cell>
        </row>
        <row r="16">
          <cell r="B16">
            <v>1</v>
          </cell>
          <cell r="C16">
            <v>0.15</v>
          </cell>
          <cell r="D16">
            <v>0.2</v>
          </cell>
          <cell r="E16">
            <v>0.5</v>
          </cell>
          <cell r="F16">
            <v>0.1</v>
          </cell>
          <cell r="G16">
            <v>9.2299999999999986</v>
          </cell>
          <cell r="H16">
            <v>1.9382999999999997</v>
          </cell>
          <cell r="I16">
            <v>3.2304999999999993</v>
          </cell>
          <cell r="J16">
            <v>0.11537499999999999</v>
          </cell>
          <cell r="K16">
            <v>9.2299999999999986</v>
          </cell>
          <cell r="L16">
            <v>0.69224999999999992</v>
          </cell>
        </row>
        <row r="17">
          <cell r="B17">
            <v>1</v>
          </cell>
          <cell r="C17">
            <v>0.25</v>
          </cell>
          <cell r="D17">
            <v>0.2</v>
          </cell>
          <cell r="E17">
            <v>0.6</v>
          </cell>
          <cell r="F17">
            <v>0.1</v>
          </cell>
          <cell r="G17">
            <v>4.9000000000000004</v>
          </cell>
          <cell r="H17">
            <v>1.5435000000000001</v>
          </cell>
          <cell r="I17">
            <v>2.2050000000000001</v>
          </cell>
          <cell r="J17">
            <v>8.5750000000000007E-2</v>
          </cell>
          <cell r="K17">
            <v>5.88</v>
          </cell>
          <cell r="L17">
            <v>0.73499999999999999</v>
          </cell>
        </row>
        <row r="18">
          <cell r="B18">
            <v>1</v>
          </cell>
          <cell r="C18">
            <v>0.2</v>
          </cell>
          <cell r="D18">
            <v>0.2</v>
          </cell>
          <cell r="E18">
            <v>0.6</v>
          </cell>
          <cell r="F18">
            <v>0.1</v>
          </cell>
          <cell r="G18">
            <v>7.9049999999999994</v>
          </cell>
          <cell r="H18">
            <v>2.2133999999999996</v>
          </cell>
          <cell r="I18">
            <v>3.1619999999999999</v>
          </cell>
          <cell r="J18">
            <v>0.11857500000000001</v>
          </cell>
          <cell r="K18">
            <v>9.4859999999999989</v>
          </cell>
          <cell r="L18">
            <v>0.94859999999999989</v>
          </cell>
        </row>
        <row r="19">
          <cell r="B19">
            <v>1</v>
          </cell>
          <cell r="C19">
            <v>0.4</v>
          </cell>
          <cell r="D19">
            <v>0.2</v>
          </cell>
          <cell r="E19">
            <v>0.6</v>
          </cell>
          <cell r="F19">
            <v>0.1</v>
          </cell>
          <cell r="G19">
            <v>3.5</v>
          </cell>
          <cell r="H19">
            <v>1.4700000000000002</v>
          </cell>
          <cell r="I19">
            <v>2.1000000000000005</v>
          </cell>
          <cell r="J19">
            <v>8.7500000000000008E-2</v>
          </cell>
          <cell r="K19">
            <v>4.2</v>
          </cell>
          <cell r="L19">
            <v>0.84</v>
          </cell>
        </row>
        <row r="20">
          <cell r="B20">
            <v>1</v>
          </cell>
          <cell r="C20">
            <v>0.25</v>
          </cell>
          <cell r="D20">
            <v>0.2</v>
          </cell>
          <cell r="E20">
            <v>0.6</v>
          </cell>
          <cell r="F20">
            <v>0.1</v>
          </cell>
          <cell r="G20">
            <v>7.9249999999999989</v>
          </cell>
          <cell r="H20">
            <v>2.4963749999999996</v>
          </cell>
          <cell r="I20">
            <v>3.5662499999999997</v>
          </cell>
          <cell r="J20">
            <v>0.13868749999999996</v>
          </cell>
          <cell r="K20">
            <v>9.509999999999998</v>
          </cell>
          <cell r="L20">
            <v>1.1887499999999998</v>
          </cell>
        </row>
        <row r="21">
          <cell r="B21">
            <v>1</v>
          </cell>
          <cell r="C21">
            <v>0.2</v>
          </cell>
          <cell r="D21">
            <v>0.2</v>
          </cell>
          <cell r="E21">
            <v>0.5</v>
          </cell>
          <cell r="F21">
            <v>0.1</v>
          </cell>
          <cell r="G21">
            <v>7.3</v>
          </cell>
          <cell r="H21">
            <v>1.752</v>
          </cell>
          <cell r="I21">
            <v>2.92</v>
          </cell>
          <cell r="J21">
            <v>0.10950000000000003</v>
          </cell>
          <cell r="K21">
            <v>7.3</v>
          </cell>
          <cell r="L21">
            <v>0.73</v>
          </cell>
        </row>
        <row r="22">
          <cell r="B22">
            <v>1</v>
          </cell>
          <cell r="C22">
            <v>0.25</v>
          </cell>
          <cell r="D22">
            <v>0.2</v>
          </cell>
          <cell r="E22">
            <v>0.6</v>
          </cell>
          <cell r="F22">
            <v>0.1</v>
          </cell>
          <cell r="G22">
            <v>7.85</v>
          </cell>
          <cell r="H22">
            <v>2.47275</v>
          </cell>
          <cell r="I22">
            <v>3.5324999999999998</v>
          </cell>
          <cell r="J22">
            <v>0.137375</v>
          </cell>
          <cell r="K22">
            <v>9.42</v>
          </cell>
          <cell r="L22">
            <v>1.1775</v>
          </cell>
        </row>
        <row r="23">
          <cell r="B23">
            <v>1</v>
          </cell>
          <cell r="C23">
            <v>0.2</v>
          </cell>
          <cell r="D23">
            <v>0.2</v>
          </cell>
          <cell r="E23">
            <v>0.6</v>
          </cell>
          <cell r="F23">
            <v>0.1</v>
          </cell>
          <cell r="G23">
            <v>7.9249999999999989</v>
          </cell>
          <cell r="H23">
            <v>2.2189999999999994</v>
          </cell>
          <cell r="I23">
            <v>3.17</v>
          </cell>
          <cell r="J23">
            <v>0.11887500000000001</v>
          </cell>
          <cell r="K23">
            <v>9.509999999999998</v>
          </cell>
          <cell r="L23">
            <v>0.95099999999999985</v>
          </cell>
        </row>
        <row r="24">
          <cell r="B24">
            <v>1</v>
          </cell>
          <cell r="C24">
            <v>0.3</v>
          </cell>
          <cell r="D24">
            <v>0.2</v>
          </cell>
          <cell r="E24">
            <v>0.5</v>
          </cell>
          <cell r="F24">
            <v>0.1</v>
          </cell>
          <cell r="G24">
            <v>3.6</v>
          </cell>
          <cell r="H24">
            <v>1.08</v>
          </cell>
          <cell r="I24">
            <v>1.8</v>
          </cell>
          <cell r="J24">
            <v>7.2000000000000008E-2</v>
          </cell>
          <cell r="K24">
            <v>3.6</v>
          </cell>
          <cell r="L24">
            <v>0.54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H26">
            <v>29.741640000000004</v>
          </cell>
          <cell r="I26">
            <v>46.0824</v>
          </cell>
          <cell r="J26">
            <v>1.734005</v>
          </cell>
          <cell r="K26">
            <v>123.48899999999998</v>
          </cell>
          <cell r="L26">
            <v>12.784500000000001</v>
          </cell>
        </row>
        <row r="28">
          <cell r="K28" t="str">
            <v xml:space="preserve"> (C/REL A AREA CONSTR)</v>
          </cell>
        </row>
        <row r="30">
          <cell r="C30">
            <v>29.741640000000004</v>
          </cell>
          <cell r="D30" t="str">
            <v>M3</v>
          </cell>
          <cell r="I30">
            <v>2.3263827290860029</v>
          </cell>
          <cell r="J30" t="str">
            <v>M3/M3</v>
          </cell>
          <cell r="K30">
            <v>4.1831894005457261E-2</v>
          </cell>
          <cell r="L30" t="str">
            <v>M3/M2</v>
          </cell>
        </row>
        <row r="31">
          <cell r="C31">
            <v>46.0824</v>
          </cell>
          <cell r="D31" t="str">
            <v>M2</v>
          </cell>
          <cell r="I31">
            <v>3.6045523876569279</v>
          </cell>
          <cell r="J31" t="str">
            <v>M2/M3</v>
          </cell>
          <cell r="K31">
            <v>6.481532532560691E-2</v>
          </cell>
          <cell r="L31" t="str">
            <v>M2/M2</v>
          </cell>
        </row>
        <row r="32">
          <cell r="C32">
            <v>1.734005</v>
          </cell>
          <cell r="D32" t="str">
            <v>M3</v>
          </cell>
          <cell r="I32">
            <v>0.13563338417615078</v>
          </cell>
          <cell r="J32" t="str">
            <v>M3/M3</v>
          </cell>
          <cell r="K32">
            <v>2.4388942023685616E-3</v>
          </cell>
          <cell r="L32" t="str">
            <v>M3/M2</v>
          </cell>
        </row>
        <row r="33">
          <cell r="C33">
            <v>123.48899999999998</v>
          </cell>
          <cell r="D33" t="str">
            <v>M2</v>
          </cell>
          <cell r="I33">
            <v>9.6592749032030945</v>
          </cell>
          <cell r="J33" t="str">
            <v>M2/M3</v>
          </cell>
          <cell r="K33">
            <v>0.17368843005429122</v>
          </cell>
          <cell r="L33" t="str">
            <v>M2/M2</v>
          </cell>
        </row>
        <row r="34">
          <cell r="C34">
            <v>12.784500000000001</v>
          </cell>
          <cell r="D34" t="str">
            <v>M3</v>
          </cell>
          <cell r="I34" t="str">
            <v xml:space="preserve">      -</v>
          </cell>
          <cell r="K34">
            <v>1.7981518467467442E-2</v>
          </cell>
          <cell r="L34" t="str">
            <v>M3/M2</v>
          </cell>
        </row>
        <row r="35">
          <cell r="C35">
            <v>1294</v>
          </cell>
          <cell r="D35" t="str">
            <v>KG</v>
          </cell>
          <cell r="I35">
            <v>101.21631663342328</v>
          </cell>
          <cell r="J35" t="str">
            <v>KG/M3</v>
          </cell>
          <cell r="K35">
            <v>1.8200230667529325</v>
          </cell>
        </row>
        <row r="36">
          <cell r="C36">
            <v>16.914594444444447</v>
          </cell>
          <cell r="D36" t="str">
            <v>M3</v>
          </cell>
          <cell r="I36">
            <v>1.3230548276776131</v>
          </cell>
          <cell r="J36" t="str">
            <v>M3/M3</v>
          </cell>
          <cell r="K36">
            <v>2.3790534817356952E-2</v>
          </cell>
          <cell r="L36" t="str">
            <v>M3/M2</v>
          </cell>
        </row>
        <row r="37">
          <cell r="C37">
            <v>16.675159222222224</v>
          </cell>
          <cell r="D37" t="str">
            <v>M3</v>
          </cell>
          <cell r="I37">
            <v>1.3043262718309063</v>
          </cell>
          <cell r="J37" t="str">
            <v>M3/M3</v>
          </cell>
          <cell r="K37">
            <v>2.3453766944530399E-2</v>
          </cell>
          <cell r="L37" t="str">
            <v>M3/M2</v>
          </cell>
        </row>
        <row r="38">
          <cell r="C38">
            <v>710.98</v>
          </cell>
          <cell r="D38" t="str">
            <v>M2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8"/>
  <sheetViews>
    <sheetView view="pageBreakPreview" zoomScale="85" zoomScaleNormal="100" zoomScaleSheetLayoutView="85" workbookViewId="0">
      <selection activeCell="J18" sqref="J18"/>
    </sheetView>
  </sheetViews>
  <sheetFormatPr defaultRowHeight="15" x14ac:dyDescent="0.25"/>
  <cols>
    <col min="1" max="1" width="19.28515625" bestFit="1" customWidth="1"/>
    <col min="2" max="2" width="55.7109375" customWidth="1"/>
    <col min="3" max="3" width="15.140625" customWidth="1"/>
    <col min="4" max="4" width="17.42578125" customWidth="1"/>
    <col min="5" max="5" width="16" customWidth="1"/>
    <col min="6" max="6" width="21" customWidth="1"/>
  </cols>
  <sheetData>
    <row r="1" spans="1:12" ht="84.75" customHeight="1" x14ac:dyDescent="0.25">
      <c r="A1" s="910" t="s">
        <v>1151</v>
      </c>
      <c r="B1" s="911"/>
      <c r="C1" s="911"/>
      <c r="D1" s="911"/>
      <c r="E1" s="911"/>
      <c r="F1" s="911"/>
    </row>
    <row r="2" spans="1:12" ht="21" customHeight="1" x14ac:dyDescent="0.25">
      <c r="A2" s="923" t="s">
        <v>1154</v>
      </c>
      <c r="B2" s="923"/>
      <c r="C2" s="923"/>
      <c r="D2" s="923"/>
      <c r="E2" s="923"/>
      <c r="F2" s="923"/>
    </row>
    <row r="3" spans="1:12" x14ac:dyDescent="0.25">
      <c r="A3" s="924" t="s">
        <v>1155</v>
      </c>
      <c r="B3" s="924"/>
      <c r="C3" s="924"/>
      <c r="D3" s="924"/>
      <c r="E3" s="924"/>
      <c r="F3" s="924"/>
    </row>
    <row r="4" spans="1:12" ht="16.5" customHeight="1" x14ac:dyDescent="0.25">
      <c r="A4" s="889" t="s">
        <v>33</v>
      </c>
      <c r="B4" s="907" t="str">
        <f>ORÇAMENTO!B4</f>
        <v>PREFEITURA MUNICIPAL DE BRASIL NOVO/PA</v>
      </c>
      <c r="C4" s="908"/>
      <c r="D4" s="909"/>
      <c r="E4" s="890" t="s">
        <v>859</v>
      </c>
      <c r="F4" s="891" t="str">
        <f>ORÇAMENTO!J4</f>
        <v>BRASIL NOVO/PA</v>
      </c>
      <c r="G4" s="430"/>
      <c r="H4" s="50"/>
      <c r="I4" s="6"/>
    </row>
    <row r="5" spans="1:12" ht="15" customHeight="1" x14ac:dyDescent="0.25">
      <c r="A5" s="889" t="s">
        <v>860</v>
      </c>
      <c r="B5" s="918" t="str">
        <f>ORÇAMENTO!B5</f>
        <v>CONSTRUÇÃO DE PRAÇA NO MUNICÍPIO DE BRASIL NOVO - PARÁ</v>
      </c>
      <c r="C5" s="919"/>
      <c r="D5" s="919"/>
      <c r="E5" s="919"/>
      <c r="F5" s="919"/>
      <c r="G5" s="371"/>
      <c r="H5" s="50"/>
      <c r="I5" s="6"/>
    </row>
    <row r="6" spans="1:12" x14ac:dyDescent="0.25">
      <c r="A6" s="889" t="s">
        <v>861</v>
      </c>
      <c r="B6" s="907" t="str">
        <f>ORÇAMENTO!B6</f>
        <v>AVENIDA TRANSAMAZÔNICA S/N, BRASIL NOVO/PA</v>
      </c>
      <c r="C6" s="908"/>
      <c r="D6" s="908"/>
      <c r="E6" s="908"/>
      <c r="F6" s="908"/>
      <c r="G6" s="426"/>
      <c r="H6" s="50"/>
      <c r="I6" s="6"/>
    </row>
    <row r="7" spans="1:12" x14ac:dyDescent="0.25">
      <c r="A7" s="892" t="s">
        <v>80</v>
      </c>
      <c r="B7" s="893">
        <f>ORÇAMENTO!B7</f>
        <v>0.29769428939090381</v>
      </c>
      <c r="C7" s="920" t="s">
        <v>34</v>
      </c>
      <c r="D7" s="922" t="str">
        <f>ORÇAMENTO!H7</f>
        <v>SINAPI FEVEREIRO 2022 - DESONERADA</v>
      </c>
      <c r="E7" s="922"/>
      <c r="F7" s="922"/>
      <c r="G7" s="427"/>
      <c r="H7" s="50"/>
      <c r="I7" s="6"/>
      <c r="L7" s="46"/>
    </row>
    <row r="8" spans="1:12" x14ac:dyDescent="0.25">
      <c r="A8" s="894" t="s">
        <v>1152</v>
      </c>
      <c r="B8" s="895" t="str">
        <f>ORÇAMENTO!B8</f>
        <v>06 meses</v>
      </c>
      <c r="C8" s="920"/>
      <c r="D8" s="922" t="str">
        <f>ORÇAMENTO!H8</f>
        <v>SEDOP FEVEREIRO 2022 - DESONERADA</v>
      </c>
      <c r="E8" s="922"/>
      <c r="F8" s="922"/>
      <c r="G8" s="427"/>
      <c r="H8" s="50"/>
      <c r="I8" s="6"/>
    </row>
    <row r="9" spans="1:12" x14ac:dyDescent="0.25">
      <c r="A9" s="896" t="s">
        <v>865</v>
      </c>
      <c r="B9" s="897">
        <f>ORÇAMENTO!B9</f>
        <v>1202969.1098858207</v>
      </c>
      <c r="C9" s="898" t="s">
        <v>864</v>
      </c>
      <c r="D9" s="921">
        <f>ORÇAMENTO!H9</f>
        <v>44749</v>
      </c>
      <c r="E9" s="921"/>
      <c r="F9" s="921"/>
      <c r="G9" s="428"/>
      <c r="H9" s="50"/>
      <c r="I9" s="6"/>
    </row>
    <row r="10" spans="1:12" ht="15.75" thickBot="1" x14ac:dyDescent="0.3">
      <c r="A10" s="368"/>
      <c r="B10" s="368"/>
      <c r="C10" s="368"/>
      <c r="D10" s="368"/>
      <c r="E10" s="368"/>
      <c r="F10" s="368"/>
      <c r="G10" s="368"/>
      <c r="H10" s="50"/>
      <c r="I10" s="6"/>
    </row>
    <row r="11" spans="1:12" x14ac:dyDescent="0.25">
      <c r="A11" s="927" t="s">
        <v>183</v>
      </c>
      <c r="B11" s="928"/>
      <c r="C11" s="928"/>
      <c r="D11" s="928"/>
      <c r="E11" s="928"/>
      <c r="F11" s="928"/>
    </row>
    <row r="12" spans="1:12" x14ac:dyDescent="0.25">
      <c r="A12" s="929" t="s">
        <v>7</v>
      </c>
      <c r="B12" s="930" t="s">
        <v>16</v>
      </c>
      <c r="C12" s="931" t="s">
        <v>184</v>
      </c>
      <c r="D12" s="931"/>
      <c r="E12" s="931" t="s">
        <v>185</v>
      </c>
      <c r="F12" s="932"/>
    </row>
    <row r="13" spans="1:12" x14ac:dyDescent="0.25">
      <c r="A13" s="929"/>
      <c r="B13" s="930"/>
      <c r="C13" s="74" t="s">
        <v>186</v>
      </c>
      <c r="D13" s="74" t="s">
        <v>187</v>
      </c>
      <c r="E13" s="74" t="s">
        <v>186</v>
      </c>
      <c r="F13" s="75" t="s">
        <v>187</v>
      </c>
    </row>
    <row r="14" spans="1:12" x14ac:dyDescent="0.25">
      <c r="A14" s="912" t="s">
        <v>188</v>
      </c>
      <c r="B14" s="913"/>
      <c r="C14" s="913"/>
      <c r="D14" s="913"/>
      <c r="E14" s="913"/>
      <c r="F14" s="914"/>
    </row>
    <row r="15" spans="1:12" x14ac:dyDescent="0.25">
      <c r="A15" s="76" t="s">
        <v>189</v>
      </c>
      <c r="B15" s="77" t="s">
        <v>190</v>
      </c>
      <c r="C15" s="78">
        <v>0</v>
      </c>
      <c r="D15" s="78">
        <v>0</v>
      </c>
      <c r="E15" s="78">
        <v>0.2</v>
      </c>
      <c r="F15" s="79">
        <v>0.2</v>
      </c>
    </row>
    <row r="16" spans="1:12" x14ac:dyDescent="0.25">
      <c r="A16" s="76" t="s">
        <v>191</v>
      </c>
      <c r="B16" s="77" t="s">
        <v>192</v>
      </c>
      <c r="C16" s="78">
        <v>0</v>
      </c>
      <c r="D16" s="78">
        <v>0</v>
      </c>
      <c r="E16" s="78">
        <v>0</v>
      </c>
      <c r="F16" s="79">
        <v>0</v>
      </c>
    </row>
    <row r="17" spans="1:6" x14ac:dyDescent="0.25">
      <c r="A17" s="76" t="s">
        <v>193</v>
      </c>
      <c r="B17" s="77" t="s">
        <v>194</v>
      </c>
      <c r="C17" s="78">
        <v>0</v>
      </c>
      <c r="D17" s="78">
        <v>0</v>
      </c>
      <c r="E17" s="78">
        <v>0</v>
      </c>
      <c r="F17" s="79">
        <v>0</v>
      </c>
    </row>
    <row r="18" spans="1:6" x14ac:dyDescent="0.25">
      <c r="A18" s="76" t="s">
        <v>195</v>
      </c>
      <c r="B18" s="77" t="s">
        <v>196</v>
      </c>
      <c r="C18" s="78">
        <v>0</v>
      </c>
      <c r="D18" s="78">
        <v>0</v>
      </c>
      <c r="E18" s="78">
        <v>0</v>
      </c>
      <c r="F18" s="79">
        <v>0</v>
      </c>
    </row>
    <row r="19" spans="1:6" x14ac:dyDescent="0.25">
      <c r="A19" s="76" t="s">
        <v>197</v>
      </c>
      <c r="B19" s="77" t="s">
        <v>198</v>
      </c>
      <c r="C19" s="78">
        <v>0</v>
      </c>
      <c r="D19" s="78">
        <v>0</v>
      </c>
      <c r="E19" s="78">
        <v>0</v>
      </c>
      <c r="F19" s="79">
        <v>0</v>
      </c>
    </row>
    <row r="20" spans="1:6" x14ac:dyDescent="0.25">
      <c r="A20" s="76" t="s">
        <v>199</v>
      </c>
      <c r="B20" s="77" t="s">
        <v>200</v>
      </c>
      <c r="C20" s="78">
        <v>2.5000000000000001E-2</v>
      </c>
      <c r="D20" s="78">
        <v>2.5000000000000001E-2</v>
      </c>
      <c r="E20" s="78">
        <v>2.5000000000000001E-2</v>
      </c>
      <c r="F20" s="79">
        <v>2.5000000000000001E-2</v>
      </c>
    </row>
    <row r="21" spans="1:6" x14ac:dyDescent="0.25">
      <c r="A21" s="76" t="s">
        <v>201</v>
      </c>
      <c r="B21" s="80" t="s">
        <v>202</v>
      </c>
      <c r="C21" s="78">
        <v>0.03</v>
      </c>
      <c r="D21" s="78">
        <v>0.03</v>
      </c>
      <c r="E21" s="81">
        <v>0.03</v>
      </c>
      <c r="F21" s="82">
        <v>0.03</v>
      </c>
    </row>
    <row r="22" spans="1:6" x14ac:dyDescent="0.25">
      <c r="A22" s="76" t="s">
        <v>203</v>
      </c>
      <c r="B22" s="77" t="s">
        <v>204</v>
      </c>
      <c r="C22" s="78">
        <v>0.08</v>
      </c>
      <c r="D22" s="78">
        <v>0.08</v>
      </c>
      <c r="E22" s="78">
        <v>0.08</v>
      </c>
      <c r="F22" s="79">
        <v>0.08</v>
      </c>
    </row>
    <row r="23" spans="1:6" x14ac:dyDescent="0.25">
      <c r="A23" s="76" t="s">
        <v>205</v>
      </c>
      <c r="B23" s="77" t="s">
        <v>206</v>
      </c>
      <c r="C23" s="78">
        <v>0</v>
      </c>
      <c r="D23" s="78">
        <v>0</v>
      </c>
      <c r="E23" s="78">
        <v>0</v>
      </c>
      <c r="F23" s="79">
        <v>0</v>
      </c>
    </row>
    <row r="24" spans="1:6" x14ac:dyDescent="0.25">
      <c r="A24" s="83" t="s">
        <v>207</v>
      </c>
      <c r="B24" s="84" t="s">
        <v>154</v>
      </c>
      <c r="C24" s="85">
        <f>SUM(C15:C23)</f>
        <v>0.13500000000000001</v>
      </c>
      <c r="D24" s="85">
        <f>SUM(D15:D23)</f>
        <v>0.13500000000000001</v>
      </c>
      <c r="E24" s="85">
        <f>SUM(E15:E23)</f>
        <v>0.33500000000000002</v>
      </c>
      <c r="F24" s="86">
        <f>SUM(F15:F23)</f>
        <v>0.33500000000000002</v>
      </c>
    </row>
    <row r="25" spans="1:6" x14ac:dyDescent="0.25">
      <c r="A25" s="912" t="s">
        <v>208</v>
      </c>
      <c r="B25" s="913"/>
      <c r="C25" s="913"/>
      <c r="D25" s="913"/>
      <c r="E25" s="913"/>
      <c r="F25" s="914"/>
    </row>
    <row r="26" spans="1:6" x14ac:dyDescent="0.25">
      <c r="A26" s="76" t="s">
        <v>209</v>
      </c>
      <c r="B26" s="77" t="s">
        <v>210</v>
      </c>
      <c r="C26" s="78">
        <v>0.18110000000000001</v>
      </c>
      <c r="D26" s="87" t="s">
        <v>211</v>
      </c>
      <c r="E26" s="78">
        <v>0.18110000000000001</v>
      </c>
      <c r="F26" s="87" t="s">
        <v>211</v>
      </c>
    </row>
    <row r="27" spans="1:6" x14ac:dyDescent="0.25">
      <c r="A27" s="76" t="s">
        <v>212</v>
      </c>
      <c r="B27" s="80" t="s">
        <v>213</v>
      </c>
      <c r="C27" s="78">
        <v>4.1500000000000002E-2</v>
      </c>
      <c r="D27" s="87" t="s">
        <v>211</v>
      </c>
      <c r="E27" s="78">
        <v>4.1500000000000002E-2</v>
      </c>
      <c r="F27" s="87" t="s">
        <v>211</v>
      </c>
    </row>
    <row r="28" spans="1:6" x14ac:dyDescent="0.25">
      <c r="A28" s="76" t="s">
        <v>214</v>
      </c>
      <c r="B28" s="77" t="s">
        <v>215</v>
      </c>
      <c r="C28" s="78">
        <v>8.8999999999999999E-3</v>
      </c>
      <c r="D28" s="78">
        <v>6.7000000000000002E-3</v>
      </c>
      <c r="E28" s="78">
        <v>8.8999999999999999E-3</v>
      </c>
      <c r="F28" s="78">
        <v>6.7000000000000002E-3</v>
      </c>
    </row>
    <row r="29" spans="1:6" x14ac:dyDescent="0.25">
      <c r="A29" s="76" t="s">
        <v>216</v>
      </c>
      <c r="B29" s="77" t="s">
        <v>217</v>
      </c>
      <c r="C29" s="78">
        <v>0.10979999999999999</v>
      </c>
      <c r="D29" s="78">
        <v>8.3299999999999999E-2</v>
      </c>
      <c r="E29" s="78">
        <v>0.10979999999999999</v>
      </c>
      <c r="F29" s="78">
        <v>8.3299999999999999E-2</v>
      </c>
    </row>
    <row r="30" spans="1:6" x14ac:dyDescent="0.25">
      <c r="A30" s="76" t="s">
        <v>218</v>
      </c>
      <c r="B30" s="77" t="s">
        <v>219</v>
      </c>
      <c r="C30" s="78">
        <v>6.9999999999999999E-4</v>
      </c>
      <c r="D30" s="78">
        <v>5.9999999999999995E-4</v>
      </c>
      <c r="E30" s="78">
        <v>6.9999999999999999E-4</v>
      </c>
      <c r="F30" s="78">
        <v>5.9999999999999995E-4</v>
      </c>
    </row>
    <row r="31" spans="1:6" x14ac:dyDescent="0.25">
      <c r="A31" s="76" t="s">
        <v>220</v>
      </c>
      <c r="B31" s="77" t="s">
        <v>221</v>
      </c>
      <c r="C31" s="78">
        <v>7.3000000000000001E-3</v>
      </c>
      <c r="D31" s="78">
        <v>5.5999999999999999E-3</v>
      </c>
      <c r="E31" s="78">
        <v>7.3000000000000001E-3</v>
      </c>
      <c r="F31" s="78">
        <v>5.5999999999999999E-3</v>
      </c>
    </row>
    <row r="32" spans="1:6" x14ac:dyDescent="0.25">
      <c r="A32" s="76" t="s">
        <v>222</v>
      </c>
      <c r="B32" s="77" t="s">
        <v>223</v>
      </c>
      <c r="C32" s="78">
        <v>2.6800000000000001E-2</v>
      </c>
      <c r="D32" s="87" t="s">
        <v>211</v>
      </c>
      <c r="E32" s="78">
        <v>2.6800000000000001E-2</v>
      </c>
      <c r="F32" s="87" t="s">
        <v>211</v>
      </c>
    </row>
    <row r="33" spans="1:6" x14ac:dyDescent="0.25">
      <c r="A33" s="76" t="s">
        <v>224</v>
      </c>
      <c r="B33" s="77" t="s">
        <v>225</v>
      </c>
      <c r="C33" s="78">
        <v>1.1000000000000001E-3</v>
      </c>
      <c r="D33" s="78">
        <v>8.0000000000000004E-4</v>
      </c>
      <c r="E33" s="78">
        <v>1.1000000000000001E-3</v>
      </c>
      <c r="F33" s="78">
        <v>8.0000000000000004E-4</v>
      </c>
    </row>
    <row r="34" spans="1:6" x14ac:dyDescent="0.25">
      <c r="A34" s="76" t="s">
        <v>226</v>
      </c>
      <c r="B34" s="77" t="s">
        <v>227</v>
      </c>
      <c r="C34" s="78">
        <v>9.2700000000000005E-2</v>
      </c>
      <c r="D34" s="78">
        <v>7.0300000000000001E-2</v>
      </c>
      <c r="E34" s="78">
        <v>9.2700000000000005E-2</v>
      </c>
      <c r="F34" s="78">
        <v>7.0300000000000001E-2</v>
      </c>
    </row>
    <row r="35" spans="1:6" x14ac:dyDescent="0.25">
      <c r="A35" s="76" t="s">
        <v>228</v>
      </c>
      <c r="B35" s="77" t="s">
        <v>229</v>
      </c>
      <c r="C35" s="78">
        <v>2.9999999999999997E-4</v>
      </c>
      <c r="D35" s="78">
        <v>2.9999999999999997E-4</v>
      </c>
      <c r="E35" s="78">
        <v>2.9999999999999997E-4</v>
      </c>
      <c r="F35" s="78">
        <v>2.9999999999999997E-4</v>
      </c>
    </row>
    <row r="36" spans="1:6" x14ac:dyDescent="0.25">
      <c r="A36" s="88" t="s">
        <v>230</v>
      </c>
      <c r="B36" s="89" t="s">
        <v>154</v>
      </c>
      <c r="C36" s="90">
        <f>SUM(C26:C35)</f>
        <v>0.47019999999999995</v>
      </c>
      <c r="D36" s="90">
        <f>SUM(D26:D35)</f>
        <v>0.1676</v>
      </c>
      <c r="E36" s="90">
        <f>SUM(E26:E35)</f>
        <v>0.47019999999999995</v>
      </c>
      <c r="F36" s="91">
        <f>SUM(F26:F35)</f>
        <v>0.1676</v>
      </c>
    </row>
    <row r="37" spans="1:6" x14ac:dyDescent="0.25">
      <c r="A37" s="915" t="s">
        <v>231</v>
      </c>
      <c r="B37" s="916"/>
      <c r="C37" s="916"/>
      <c r="D37" s="916"/>
      <c r="E37" s="916"/>
      <c r="F37" s="917"/>
    </row>
    <row r="38" spans="1:6" x14ac:dyDescent="0.25">
      <c r="A38" s="92" t="s">
        <v>232</v>
      </c>
      <c r="B38" s="93" t="s">
        <v>233</v>
      </c>
      <c r="C38" s="94">
        <v>5.6899999999999999E-2</v>
      </c>
      <c r="D38" s="94">
        <v>4.3200000000000002E-2</v>
      </c>
      <c r="E38" s="94">
        <v>5.6899999999999999E-2</v>
      </c>
      <c r="F38" s="94">
        <v>4.3200000000000002E-2</v>
      </c>
    </row>
    <row r="39" spans="1:6" x14ac:dyDescent="0.25">
      <c r="A39" s="76" t="s">
        <v>234</v>
      </c>
      <c r="B39" s="77" t="s">
        <v>235</v>
      </c>
      <c r="C39" s="78">
        <v>1.2999999999999999E-3</v>
      </c>
      <c r="D39" s="78">
        <v>1E-3</v>
      </c>
      <c r="E39" s="78">
        <v>1.2999999999999999E-3</v>
      </c>
      <c r="F39" s="78">
        <v>1E-3</v>
      </c>
    </row>
    <row r="40" spans="1:6" x14ac:dyDescent="0.25">
      <c r="A40" s="76" t="s">
        <v>236</v>
      </c>
      <c r="B40" s="77" t="s">
        <v>237</v>
      </c>
      <c r="C40" s="78">
        <v>4.4699999999999997E-2</v>
      </c>
      <c r="D40" s="78">
        <v>3.39E-2</v>
      </c>
      <c r="E40" s="78">
        <v>4.4699999999999997E-2</v>
      </c>
      <c r="F40" s="78">
        <v>3.39E-2</v>
      </c>
    </row>
    <row r="41" spans="1:6" x14ac:dyDescent="0.25">
      <c r="A41" s="76" t="s">
        <v>238</v>
      </c>
      <c r="B41" s="77" t="s">
        <v>239</v>
      </c>
      <c r="C41" s="78">
        <v>3.9300000000000002E-2</v>
      </c>
      <c r="D41" s="78">
        <v>2.98E-2</v>
      </c>
      <c r="E41" s="78">
        <v>3.9300000000000002E-2</v>
      </c>
      <c r="F41" s="78">
        <v>2.98E-2</v>
      </c>
    </row>
    <row r="42" spans="1:6" x14ac:dyDescent="0.25">
      <c r="A42" s="76" t="s">
        <v>240</v>
      </c>
      <c r="B42" s="77" t="s">
        <v>241</v>
      </c>
      <c r="C42" s="78">
        <v>4.7999999999999996E-3</v>
      </c>
      <c r="D42" s="78">
        <v>3.5999999999999999E-3</v>
      </c>
      <c r="E42" s="78">
        <v>4.7999999999999996E-3</v>
      </c>
      <c r="F42" s="78">
        <v>3.5999999999999999E-3</v>
      </c>
    </row>
    <row r="43" spans="1:6" x14ac:dyDescent="0.25">
      <c r="A43" s="88" t="s">
        <v>242</v>
      </c>
      <c r="B43" s="89" t="s">
        <v>154</v>
      </c>
      <c r="C43" s="90">
        <f>SUM(C38:C42)</f>
        <v>0.14699999999999999</v>
      </c>
      <c r="D43" s="90">
        <f>SUM(D38:D42)</f>
        <v>0.1115</v>
      </c>
      <c r="E43" s="90">
        <f>SUM(E38:E42)</f>
        <v>0.14699999999999999</v>
      </c>
      <c r="F43" s="91">
        <f>SUM(F38:F42)</f>
        <v>0.1115</v>
      </c>
    </row>
    <row r="44" spans="1:6" x14ac:dyDescent="0.25">
      <c r="A44" s="915" t="s">
        <v>243</v>
      </c>
      <c r="B44" s="916"/>
      <c r="C44" s="916"/>
      <c r="D44" s="916"/>
      <c r="E44" s="916"/>
      <c r="F44" s="917"/>
    </row>
    <row r="45" spans="1:6" x14ac:dyDescent="0.25">
      <c r="A45" s="92" t="s">
        <v>244</v>
      </c>
      <c r="B45" s="93" t="s">
        <v>245</v>
      </c>
      <c r="C45" s="94">
        <v>7.9000000000000001E-2</v>
      </c>
      <c r="D45" s="94">
        <v>2.8199999999999999E-2</v>
      </c>
      <c r="E45" s="94">
        <v>0.17299999999999999</v>
      </c>
      <c r="F45" s="95">
        <v>6.1699999999999998E-2</v>
      </c>
    </row>
    <row r="46" spans="1:6" ht="32.25" customHeight="1" x14ac:dyDescent="0.25">
      <c r="A46" s="103" t="s">
        <v>246</v>
      </c>
      <c r="B46" s="96" t="s">
        <v>247</v>
      </c>
      <c r="C46" s="97">
        <v>4.7999999999999996E-3</v>
      </c>
      <c r="D46" s="97">
        <v>3.5999999999999999E-3</v>
      </c>
      <c r="E46" s="97">
        <v>5.0000000000000001E-3</v>
      </c>
      <c r="F46" s="98">
        <v>3.8E-3</v>
      </c>
    </row>
    <row r="47" spans="1:6" x14ac:dyDescent="0.25">
      <c r="A47" s="83" t="s">
        <v>248</v>
      </c>
      <c r="B47" s="84" t="s">
        <v>154</v>
      </c>
      <c r="C47" s="99">
        <f>SUM(C45:C46)</f>
        <v>8.3799999999999999E-2</v>
      </c>
      <c r="D47" s="99">
        <f>SUM(D45:D46)</f>
        <v>3.1800000000000002E-2</v>
      </c>
      <c r="E47" s="99">
        <f>SUM(E45:E46)</f>
        <v>0.17799999999999999</v>
      </c>
      <c r="F47" s="100">
        <f>SUM(F45:F46)</f>
        <v>6.5500000000000003E-2</v>
      </c>
    </row>
    <row r="48" spans="1:6" ht="15.75" thickBot="1" x14ac:dyDescent="0.3">
      <c r="A48" s="925" t="s">
        <v>249</v>
      </c>
      <c r="B48" s="926"/>
      <c r="C48" s="101">
        <f>C24+C36+C43+C47</f>
        <v>0.83599999999999997</v>
      </c>
      <c r="D48" s="101">
        <f>D24+D36+D43+D47</f>
        <v>0.44589999999999996</v>
      </c>
      <c r="E48" s="101">
        <f>E24+E36+E43+E47</f>
        <v>1.1301999999999999</v>
      </c>
      <c r="F48" s="102">
        <f>F24+F36+F43+F47</f>
        <v>0.67960000000000009</v>
      </c>
    </row>
  </sheetData>
  <mergeCells count="20">
    <mergeCell ref="A48:B48"/>
    <mergeCell ref="A11:F11"/>
    <mergeCell ref="A12:A13"/>
    <mergeCell ref="B12:B13"/>
    <mergeCell ref="C12:D12"/>
    <mergeCell ref="E12:F12"/>
    <mergeCell ref="A14:F14"/>
    <mergeCell ref="B4:D4"/>
    <mergeCell ref="A1:F1"/>
    <mergeCell ref="A25:F25"/>
    <mergeCell ref="A37:F37"/>
    <mergeCell ref="A44:F44"/>
    <mergeCell ref="B5:F5"/>
    <mergeCell ref="B6:F6"/>
    <mergeCell ref="C7:C8"/>
    <mergeCell ref="D9:F9"/>
    <mergeCell ref="D8:F8"/>
    <mergeCell ref="D7:F7"/>
    <mergeCell ref="A2:F2"/>
    <mergeCell ref="A3:F3"/>
  </mergeCells>
  <pageMargins left="0.73" right="0.35" top="0.39" bottom="0.78740157499999996" header="0.31496062000000002" footer="0.31496062000000002"/>
  <pageSetup paperSize="9" scale="63"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  <pageSetUpPr fitToPage="1"/>
  </sheetPr>
  <dimension ref="A1:P189"/>
  <sheetViews>
    <sheetView view="pageBreakPreview" zoomScale="70" zoomScaleNormal="100" zoomScaleSheetLayoutView="70" workbookViewId="0">
      <selection activeCell="U37" sqref="U37"/>
    </sheetView>
  </sheetViews>
  <sheetFormatPr defaultRowHeight="15" x14ac:dyDescent="0.25"/>
  <cols>
    <col min="1" max="1" width="12" customWidth="1"/>
    <col min="3" max="3" width="14.140625" customWidth="1"/>
    <col min="4" max="4" width="11" customWidth="1"/>
    <col min="5" max="5" width="13.28515625" customWidth="1"/>
    <col min="6" max="6" width="14" customWidth="1"/>
    <col min="8" max="8" width="12.85546875" customWidth="1"/>
    <col min="9" max="9" width="11.42578125" customWidth="1"/>
    <col min="10" max="10" width="11" customWidth="1"/>
    <col min="12" max="12" width="11.28515625" bestFit="1" customWidth="1"/>
    <col min="16" max="16" width="10.7109375" customWidth="1"/>
  </cols>
  <sheetData>
    <row r="1" spans="1:16" ht="90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</row>
    <row r="2" spans="1:16" ht="21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</row>
    <row r="3" spans="1:16" ht="1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</row>
    <row r="4" spans="1:16" ht="26.25" customHeight="1" x14ac:dyDescent="0.25">
      <c r="A4" s="969" t="s">
        <v>33</v>
      </c>
      <c r="B4" s="970"/>
      <c r="C4" s="976" t="str">
        <f>COMPOSIÇÕES!B4</f>
        <v>PREFEITURA MUNICIPAL DE BRASIL NOVO/PA</v>
      </c>
      <c r="D4" s="977"/>
      <c r="E4" s="977"/>
      <c r="F4" s="977"/>
      <c r="G4" s="977"/>
      <c r="H4" s="977"/>
      <c r="I4" s="977"/>
      <c r="J4" s="977"/>
      <c r="K4" s="977"/>
      <c r="L4" s="978"/>
      <c r="M4" s="1128" t="s">
        <v>859</v>
      </c>
      <c r="N4" s="1129"/>
      <c r="O4" s="1126" t="str">
        <f>ORÇAMENTO!J4</f>
        <v>BRASIL NOVO/PA</v>
      </c>
      <c r="P4" s="1127"/>
    </row>
    <row r="5" spans="1:16" ht="25.5" customHeight="1" x14ac:dyDescent="0.25">
      <c r="A5" s="969" t="s">
        <v>860</v>
      </c>
      <c r="B5" s="970"/>
      <c r="C5" s="1184" t="str">
        <f>COMPOSIÇÕES!B5</f>
        <v>CONSTRUÇÃO DE PRAÇA NO MUNICÍPIO DE BRASIL NOVO - PARÁ</v>
      </c>
      <c r="D5" s="1185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6"/>
    </row>
    <row r="6" spans="1:16" ht="19.5" customHeight="1" x14ac:dyDescent="0.25">
      <c r="A6" s="969" t="s">
        <v>861</v>
      </c>
      <c r="B6" s="970"/>
      <c r="C6" s="973" t="str">
        <f>ORÇAMENTO!B6</f>
        <v>AVENIDA TRANSAMAZÔNICA S/N, BRASIL NOVO/PA</v>
      </c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</row>
    <row r="7" spans="1:16" ht="22.5" customHeight="1" x14ac:dyDescent="0.25">
      <c r="A7" s="980" t="s">
        <v>80</v>
      </c>
      <c r="B7" s="981"/>
      <c r="C7" s="1183">
        <f>ORÇAMENTO!B7</f>
        <v>0.29769428939090381</v>
      </c>
      <c r="D7" s="1183"/>
      <c r="E7" s="1183"/>
      <c r="F7" s="1183"/>
      <c r="G7" s="1183"/>
      <c r="H7" s="1183"/>
      <c r="I7" s="1183"/>
      <c r="J7" s="1150" t="s">
        <v>34</v>
      </c>
      <c r="K7" s="1151"/>
      <c r="L7" s="1147" t="str">
        <f>ORÇAMENTO!H7</f>
        <v>SINAPI FEVEREIRO 2022 - DESONERADA</v>
      </c>
      <c r="M7" s="1148"/>
      <c r="N7" s="1148"/>
      <c r="O7" s="1148"/>
      <c r="P7" s="1149"/>
    </row>
    <row r="8" spans="1:16" ht="19.5" customHeight="1" x14ac:dyDescent="0.25">
      <c r="A8" s="969" t="s">
        <v>863</v>
      </c>
      <c r="B8" s="970"/>
      <c r="C8" s="965" t="str">
        <f>ORÇAMENTO!B8</f>
        <v>06 meses</v>
      </c>
      <c r="D8" s="965"/>
      <c r="E8" s="965"/>
      <c r="F8" s="965"/>
      <c r="G8" s="965"/>
      <c r="H8" s="965"/>
      <c r="I8" s="965"/>
      <c r="J8" s="1118"/>
      <c r="K8" s="1119"/>
      <c r="L8" s="1147" t="str">
        <f>ORÇAMENTO!H8</f>
        <v>SEDOP FEVEREIRO 2022 - DESONERADA</v>
      </c>
      <c r="M8" s="1148"/>
      <c r="N8" s="1148"/>
      <c r="O8" s="1148"/>
      <c r="P8" s="1149"/>
    </row>
    <row r="9" spans="1:16" ht="24" customHeight="1" x14ac:dyDescent="0.25">
      <c r="A9" s="969" t="s">
        <v>865</v>
      </c>
      <c r="B9" s="970"/>
      <c r="C9" s="971">
        <f>ORÇAMENTO!B9</f>
        <v>1202969.1098858207</v>
      </c>
      <c r="D9" s="971"/>
      <c r="E9" s="971"/>
      <c r="F9" s="971"/>
      <c r="G9" s="971"/>
      <c r="H9" s="971"/>
      <c r="I9" s="971"/>
      <c r="J9" s="1103" t="s">
        <v>864</v>
      </c>
      <c r="K9" s="1104"/>
      <c r="L9" s="963">
        <f>ORÇAMENTO!H9</f>
        <v>44749</v>
      </c>
      <c r="M9" s="963"/>
      <c r="N9" s="963"/>
      <c r="O9" s="963"/>
      <c r="P9" s="963"/>
    </row>
    <row r="10" spans="1:16" ht="10.5" customHeight="1" thickBot="1" x14ac:dyDescent="0.3">
      <c r="A10" s="1138"/>
      <c r="B10" s="1139"/>
      <c r="C10" s="1139"/>
      <c r="D10" s="1139"/>
      <c r="E10" s="1139"/>
      <c r="F10" s="1139"/>
      <c r="G10" s="1139"/>
      <c r="H10" s="1139"/>
      <c r="I10" s="1139"/>
      <c r="J10" s="1139"/>
      <c r="K10" s="1139"/>
      <c r="L10" s="1191"/>
      <c r="M10" s="1191"/>
      <c r="N10" s="6"/>
      <c r="O10" s="6"/>
      <c r="P10" s="72"/>
    </row>
    <row r="11" spans="1:16" ht="15.75" customHeight="1" thickBot="1" x14ac:dyDescent="0.3">
      <c r="A11" s="1140" t="s">
        <v>871</v>
      </c>
      <c r="B11" s="1141"/>
      <c r="C11" s="1141"/>
      <c r="D11" s="1141"/>
      <c r="E11" s="1141"/>
      <c r="F11" s="1141"/>
      <c r="G11" s="1141"/>
      <c r="H11" s="1141"/>
      <c r="I11" s="1141"/>
      <c r="J11" s="1141"/>
      <c r="K11" s="1141"/>
      <c r="L11" s="1141"/>
      <c r="M11" s="1141"/>
      <c r="N11" s="1141"/>
      <c r="O11" s="1141"/>
      <c r="P11" s="1142"/>
    </row>
    <row r="12" spans="1:16" ht="11.25" customHeight="1" thickBot="1" x14ac:dyDescent="0.3">
      <c r="A12" s="1188"/>
      <c r="B12" s="1189"/>
      <c r="C12" s="1189"/>
      <c r="D12" s="1189"/>
      <c r="E12" s="1189"/>
      <c r="F12" s="1189"/>
      <c r="G12" s="1189"/>
      <c r="H12" s="1189"/>
      <c r="I12" s="1189"/>
      <c r="J12" s="1189"/>
      <c r="K12" s="1189"/>
      <c r="L12" s="1189"/>
      <c r="M12" s="1189"/>
      <c r="N12" s="1189"/>
      <c r="O12" s="1189"/>
      <c r="P12" s="1190"/>
    </row>
    <row r="13" spans="1:16" ht="15.75" customHeight="1" thickBot="1" x14ac:dyDescent="0.3">
      <c r="A13" s="1135" t="str">
        <f>ORÇAMENTO!D41</f>
        <v xml:space="preserve"> URBANIZAÇÃO</v>
      </c>
      <c r="B13" s="1136"/>
      <c r="C13" s="1136"/>
      <c r="D13" s="1136"/>
      <c r="E13" s="1136"/>
      <c r="F13" s="1136"/>
      <c r="G13" s="1136"/>
      <c r="H13" s="1136"/>
      <c r="I13" s="1136"/>
      <c r="J13" s="1136"/>
      <c r="K13" s="1136"/>
      <c r="L13" s="1136"/>
      <c r="M13" s="1136"/>
      <c r="N13" s="1136"/>
      <c r="O13" s="1136"/>
      <c r="P13" s="1137"/>
    </row>
    <row r="14" spans="1:16" x14ac:dyDescent="0.25">
      <c r="A14" s="71"/>
      <c r="B14" s="39"/>
      <c r="C14" s="39"/>
      <c r="D14" s="177"/>
      <c r="E14" s="39"/>
      <c r="F14" s="39"/>
      <c r="I14" s="39"/>
      <c r="J14" s="39"/>
      <c r="K14" s="39"/>
      <c r="L14" s="6"/>
      <c r="M14" s="6"/>
      <c r="N14" s="6"/>
      <c r="O14" s="6"/>
      <c r="P14" s="72"/>
    </row>
    <row r="15" spans="1:16" x14ac:dyDescent="0.25">
      <c r="A15" s="5">
        <f>ORÇAMENTO!A41</f>
        <v>5</v>
      </c>
      <c r="B15" s="3" t="str">
        <f>ORÇAMENTO!D41</f>
        <v xml:space="preserve"> URBANIZAÇÃO</v>
      </c>
      <c r="C15" s="2"/>
      <c r="D15" s="4"/>
      <c r="E15" s="2"/>
      <c r="F15" s="2"/>
      <c r="G15" s="4"/>
      <c r="H15" s="2"/>
      <c r="I15" s="2"/>
      <c r="J15" s="4"/>
      <c r="K15" s="2"/>
      <c r="L15" s="2"/>
      <c r="M15" s="4"/>
      <c r="N15" s="2"/>
      <c r="O15" s="2"/>
      <c r="P15" s="4"/>
    </row>
    <row r="16" spans="1:16" x14ac:dyDescent="0.25">
      <c r="A16" s="5"/>
      <c r="B16" s="3"/>
      <c r="C16" s="2"/>
      <c r="D16" s="4"/>
      <c r="E16" s="2"/>
      <c r="F16" s="2"/>
      <c r="G16" s="4"/>
      <c r="H16" s="2"/>
      <c r="I16" s="2"/>
      <c r="J16" s="4"/>
      <c r="K16" s="2"/>
      <c r="L16" s="2"/>
      <c r="M16" s="4"/>
      <c r="N16" s="2"/>
      <c r="O16" s="2"/>
      <c r="P16" s="4"/>
    </row>
    <row r="17" spans="1:16" x14ac:dyDescent="0.25">
      <c r="A17" s="1" t="str">
        <f>ORÇAMENTO!A42</f>
        <v>5.1</v>
      </c>
      <c r="B17" s="3" t="str">
        <f>ORÇAMENTO!D42</f>
        <v>Plantio de grama (incl. terra preta)</v>
      </c>
      <c r="C17" s="1"/>
      <c r="D17" s="3"/>
      <c r="E17" s="1"/>
      <c r="F17" s="1"/>
      <c r="G17" s="3"/>
      <c r="H17" s="1"/>
      <c r="I17" s="1"/>
      <c r="J17" s="3"/>
      <c r="K17" s="1"/>
      <c r="L17" s="2"/>
      <c r="M17" s="4"/>
      <c r="N17" s="2"/>
      <c r="O17" s="2"/>
      <c r="P17" s="4"/>
    </row>
    <row r="18" spans="1:16" x14ac:dyDescent="0.25">
      <c r="A18" s="1"/>
      <c r="B18" s="4" t="s">
        <v>714</v>
      </c>
      <c r="C18" s="2"/>
      <c r="D18" s="4"/>
      <c r="E18" s="2"/>
      <c r="F18" s="2"/>
      <c r="G18" s="4"/>
      <c r="H18" s="2"/>
      <c r="I18" s="2"/>
      <c r="J18" s="4"/>
      <c r="K18" s="2"/>
      <c r="L18" s="2"/>
      <c r="M18" s="4"/>
      <c r="N18" s="2"/>
      <c r="O18" s="2"/>
      <c r="P18" s="4"/>
    </row>
    <row r="19" spans="1:16" x14ac:dyDescent="0.25">
      <c r="A19" s="1"/>
      <c r="B19" s="2"/>
      <c r="C19" s="2"/>
      <c r="D19" s="2" t="s">
        <v>90</v>
      </c>
      <c r="E19" s="4"/>
      <c r="F19" s="2"/>
      <c r="G19" s="4"/>
      <c r="H19" s="2"/>
      <c r="I19" s="2"/>
      <c r="J19" s="4"/>
      <c r="K19" s="2"/>
      <c r="L19" s="2"/>
      <c r="M19" s="4"/>
      <c r="N19" s="2"/>
      <c r="O19" s="2"/>
      <c r="P19" s="4"/>
    </row>
    <row r="20" spans="1:16" x14ac:dyDescent="0.25">
      <c r="A20" s="1"/>
      <c r="B20" s="1187" t="s">
        <v>102</v>
      </c>
      <c r="C20" s="1187"/>
      <c r="D20" s="2">
        <v>210.96</v>
      </c>
      <c r="E20" s="4" t="s">
        <v>53</v>
      </c>
      <c r="F20" s="1187"/>
      <c r="G20" s="1187"/>
      <c r="H20" s="2"/>
      <c r="I20" s="4"/>
      <c r="J20" s="1187"/>
      <c r="K20" s="1187"/>
      <c r="L20" s="2"/>
      <c r="M20" s="4"/>
      <c r="N20" s="2"/>
      <c r="O20" s="2"/>
      <c r="P20" s="4"/>
    </row>
    <row r="21" spans="1:16" x14ac:dyDescent="0.25">
      <c r="A21" s="1"/>
      <c r="B21" s="1187" t="s">
        <v>103</v>
      </c>
      <c r="C21" s="1187"/>
      <c r="D21" s="2">
        <v>197.21</v>
      </c>
      <c r="E21" s="4" t="s">
        <v>53</v>
      </c>
      <c r="F21" s="1187"/>
      <c r="G21" s="1187"/>
      <c r="H21" s="2"/>
      <c r="I21" s="53"/>
      <c r="J21" s="53"/>
      <c r="K21" s="53"/>
      <c r="L21" s="56"/>
      <c r="M21" s="160"/>
      <c r="N21" s="2"/>
      <c r="O21" s="2"/>
      <c r="P21" s="4"/>
    </row>
    <row r="22" spans="1:16" x14ac:dyDescent="0.25">
      <c r="A22" s="1"/>
      <c r="B22" s="1187" t="s">
        <v>104</v>
      </c>
      <c r="C22" s="1187"/>
      <c r="D22" s="2">
        <v>197.2</v>
      </c>
      <c r="E22" s="4" t="s">
        <v>53</v>
      </c>
      <c r="F22" s="1187"/>
      <c r="G22" s="1187"/>
      <c r="H22" s="2"/>
      <c r="I22" s="53"/>
      <c r="J22" s="53"/>
      <c r="K22" s="53"/>
      <c r="L22" s="56"/>
      <c r="M22" s="160"/>
      <c r="N22" s="2"/>
      <c r="O22" s="2"/>
      <c r="P22" s="4"/>
    </row>
    <row r="23" spans="1:16" x14ac:dyDescent="0.25">
      <c r="A23" s="1"/>
      <c r="B23" s="1187" t="s">
        <v>956</v>
      </c>
      <c r="C23" s="1187"/>
      <c r="D23" s="2">
        <v>487.2</v>
      </c>
      <c r="E23" s="4" t="s">
        <v>53</v>
      </c>
      <c r="F23" s="2"/>
      <c r="G23" s="2"/>
      <c r="H23" s="2"/>
      <c r="I23" s="53"/>
      <c r="J23" s="53"/>
      <c r="K23" s="53"/>
      <c r="L23" s="56"/>
      <c r="M23" s="160"/>
      <c r="N23" s="2"/>
      <c r="O23" s="2"/>
      <c r="P23" s="4"/>
    </row>
    <row r="24" spans="1:16" x14ac:dyDescent="0.25">
      <c r="A24" s="1"/>
      <c r="B24" s="1187" t="s">
        <v>957</v>
      </c>
      <c r="C24" s="1187"/>
      <c r="D24" s="2">
        <v>597.4</v>
      </c>
      <c r="E24" s="4" t="s">
        <v>53</v>
      </c>
      <c r="F24" s="2"/>
      <c r="G24" s="2"/>
      <c r="H24" s="2"/>
      <c r="I24" s="53"/>
      <c r="J24" s="53"/>
      <c r="K24" s="53"/>
      <c r="L24" s="56"/>
      <c r="M24" s="160"/>
      <c r="N24" s="2"/>
      <c r="O24" s="2"/>
      <c r="P24" s="4"/>
    </row>
    <row r="25" spans="1:16" x14ac:dyDescent="0.25">
      <c r="A25" s="1"/>
      <c r="B25" s="1187" t="s">
        <v>958</v>
      </c>
      <c r="C25" s="1187"/>
      <c r="D25" s="2">
        <v>585.65</v>
      </c>
      <c r="E25" s="4" t="s">
        <v>53</v>
      </c>
      <c r="F25" s="2"/>
      <c r="G25" s="2"/>
      <c r="H25" s="2"/>
      <c r="I25" s="53"/>
      <c r="J25" s="53"/>
      <c r="K25" s="53"/>
      <c r="L25" s="56"/>
      <c r="M25" s="160"/>
      <c r="N25" s="2"/>
      <c r="O25" s="2"/>
      <c r="P25" s="4"/>
    </row>
    <row r="26" spans="1:16" x14ac:dyDescent="0.25">
      <c r="A26" s="1"/>
      <c r="B26" s="1187" t="s">
        <v>959</v>
      </c>
      <c r="C26" s="1187"/>
      <c r="D26" s="2">
        <v>718.79</v>
      </c>
      <c r="E26" s="4" t="s">
        <v>53</v>
      </c>
      <c r="F26" s="2"/>
      <c r="G26" s="2"/>
      <c r="H26" s="2"/>
      <c r="I26" s="53"/>
      <c r="J26" s="53"/>
      <c r="K26" s="53"/>
      <c r="L26" s="56"/>
      <c r="M26" s="160"/>
      <c r="N26" s="2"/>
      <c r="O26" s="2"/>
      <c r="P26" s="4"/>
    </row>
    <row r="27" spans="1:16" x14ac:dyDescent="0.25">
      <c r="A27" s="1"/>
      <c r="B27" s="1187"/>
      <c r="C27" s="1187"/>
      <c r="D27" s="4"/>
      <c r="E27" s="2"/>
      <c r="F27" s="2" t="s">
        <v>1100</v>
      </c>
      <c r="G27" s="4"/>
      <c r="H27" s="2"/>
      <c r="I27" s="53"/>
      <c r="J27" s="53"/>
      <c r="K27" s="53"/>
      <c r="L27" s="56"/>
      <c r="M27" s="160"/>
      <c r="N27" s="2"/>
      <c r="O27" s="2"/>
      <c r="P27" s="4"/>
    </row>
    <row r="28" spans="1:16" x14ac:dyDescent="0.25">
      <c r="A28" s="1"/>
      <c r="B28" s="1187" t="s">
        <v>1099</v>
      </c>
      <c r="C28" s="1187"/>
      <c r="D28" s="4">
        <f>SUM(D20:D26)</f>
        <v>2994.41</v>
      </c>
      <c r="E28" s="2" t="s">
        <v>150</v>
      </c>
      <c r="F28" s="2">
        <f>ROUND(SUM(E41:E45),2)</f>
        <v>149.80000000000001</v>
      </c>
      <c r="G28" s="4" t="s">
        <v>23</v>
      </c>
      <c r="H28" s="2">
        <f>D28-F28</f>
        <v>2844.6099999999997</v>
      </c>
      <c r="I28" s="53"/>
      <c r="J28" s="53"/>
      <c r="K28" s="53"/>
      <c r="L28" s="56"/>
      <c r="M28" s="160"/>
      <c r="N28" s="2"/>
      <c r="O28" s="2"/>
      <c r="P28" s="4"/>
    </row>
    <row r="29" spans="1:16" x14ac:dyDescent="0.25">
      <c r="A29" s="1"/>
      <c r="B29" s="2"/>
      <c r="C29" s="2"/>
      <c r="D29" s="4"/>
      <c r="E29" s="2"/>
      <c r="F29" s="2"/>
      <c r="G29" s="4"/>
      <c r="H29" s="2"/>
      <c r="I29" s="53"/>
      <c r="J29" s="53"/>
      <c r="K29" s="53"/>
      <c r="L29" s="56"/>
      <c r="M29" s="160"/>
      <c r="N29" s="2"/>
      <c r="O29" s="2"/>
      <c r="P29" s="4"/>
    </row>
    <row r="30" spans="1:16" x14ac:dyDescent="0.25">
      <c r="A30" s="1"/>
      <c r="B30" s="1197" t="s">
        <v>91</v>
      </c>
      <c r="C30" s="1198"/>
      <c r="D30" s="11">
        <f>D28-F28</f>
        <v>2844.6099999999997</v>
      </c>
      <c r="E30" s="10" t="s">
        <v>4</v>
      </c>
      <c r="F30" s="2"/>
      <c r="G30" s="4"/>
      <c r="H30" s="2"/>
      <c r="I30" s="2"/>
      <c r="J30" s="4"/>
      <c r="K30" s="2"/>
      <c r="L30" s="2"/>
      <c r="M30" s="4"/>
      <c r="N30" s="2"/>
      <c r="O30" s="2"/>
      <c r="P30" s="4"/>
    </row>
    <row r="31" spans="1:16" x14ac:dyDescent="0.25">
      <c r="A31" s="1"/>
      <c r="B31" s="2"/>
      <c r="C31" s="2"/>
      <c r="D31" s="4"/>
      <c r="E31" s="2"/>
      <c r="F31" s="2"/>
      <c r="G31" s="4"/>
      <c r="H31" s="2"/>
      <c r="I31" s="2"/>
      <c r="J31" s="4"/>
      <c r="K31" s="2"/>
      <c r="L31" s="2"/>
      <c r="M31" s="4"/>
      <c r="N31" s="2"/>
      <c r="O31" s="2"/>
      <c r="P31" s="4"/>
    </row>
    <row r="32" spans="1:16" x14ac:dyDescent="0.25">
      <c r="A32" s="1" t="str">
        <f>ORÇAMENTO!A43</f>
        <v>5.2</v>
      </c>
      <c r="B32" s="3" t="str">
        <f>ORÇAMENTO!D43</f>
        <v>PLANTIO DE ÁRVORE ORNAMENTAL COM ALTURA DE MUDA MAIOR QUE 2,00 M E MENOR OU IGUAL A 4,00 M. AF_05/2018</v>
      </c>
      <c r="C32" s="1"/>
      <c r="D32" s="3"/>
      <c r="E32" s="1"/>
      <c r="F32" s="1"/>
      <c r="G32" s="4"/>
      <c r="H32" s="2"/>
      <c r="I32" s="2"/>
      <c r="J32" s="4"/>
      <c r="K32" s="2"/>
      <c r="L32" s="2"/>
      <c r="M32" s="4"/>
      <c r="N32" s="2"/>
      <c r="O32" s="2"/>
      <c r="P32" s="4"/>
    </row>
    <row r="33" spans="1:16" x14ac:dyDescent="0.25">
      <c r="A33" s="1"/>
      <c r="B33" s="4" t="s">
        <v>715</v>
      </c>
      <c r="C33" s="1"/>
      <c r="D33" s="3"/>
      <c r="E33" s="1"/>
      <c r="F33" s="1"/>
      <c r="G33" s="4"/>
      <c r="H33" s="2"/>
      <c r="I33" s="2"/>
      <c r="J33" s="4"/>
      <c r="K33" s="2"/>
      <c r="L33" s="2"/>
      <c r="M33" s="4"/>
      <c r="N33" s="2"/>
      <c r="O33" s="2"/>
      <c r="P33" s="4"/>
    </row>
    <row r="34" spans="1:16" x14ac:dyDescent="0.25">
      <c r="A34" s="1"/>
      <c r="B34" s="62"/>
      <c r="C34" s="62"/>
      <c r="D34" s="62"/>
      <c r="E34" s="45"/>
      <c r="F34" s="2"/>
      <c r="G34" s="4"/>
      <c r="H34" s="2"/>
      <c r="I34" s="2"/>
      <c r="J34" s="4"/>
      <c r="K34" s="2"/>
      <c r="L34" s="2"/>
      <c r="M34" s="4"/>
      <c r="N34" s="2"/>
      <c r="O34" s="2"/>
      <c r="P34" s="4"/>
    </row>
    <row r="35" spans="1:16" x14ac:dyDescent="0.25">
      <c r="A35" s="1"/>
      <c r="B35" s="8" t="s">
        <v>92</v>
      </c>
      <c r="C35" s="601">
        <v>22</v>
      </c>
      <c r="D35" s="10" t="s">
        <v>11</v>
      </c>
      <c r="F35" s="2"/>
      <c r="G35" s="4"/>
      <c r="H35" s="2"/>
      <c r="I35" s="2"/>
      <c r="J35" s="4"/>
      <c r="K35" s="2"/>
      <c r="L35" s="2"/>
      <c r="M35" s="4"/>
      <c r="N35" s="2"/>
      <c r="O35" s="2"/>
      <c r="P35" s="4"/>
    </row>
    <row r="36" spans="1:16" x14ac:dyDescent="0.25">
      <c r="A36" s="1"/>
      <c r="B36" s="2"/>
      <c r="C36" s="2"/>
      <c r="D36" s="4"/>
      <c r="E36" s="2"/>
      <c r="F36" s="2"/>
      <c r="G36" s="4"/>
      <c r="H36" s="2"/>
      <c r="I36" s="2"/>
      <c r="J36" s="4"/>
      <c r="K36" s="2"/>
      <c r="L36" s="2"/>
      <c r="M36" s="4"/>
      <c r="N36" s="2"/>
      <c r="O36" s="2"/>
      <c r="P36" s="4"/>
    </row>
    <row r="37" spans="1:16" s="632" customFormat="1" ht="18" customHeight="1" x14ac:dyDescent="0.25">
      <c r="A37" s="177" t="s">
        <v>95</v>
      </c>
      <c r="B37" s="630" t="str">
        <f>ORÇAMENTO!D44</f>
        <v>PLANTIO DE MUDA  DE ARBUSTO, INCLUINDO TERRA PRETA</v>
      </c>
      <c r="C37" s="177"/>
      <c r="D37" s="630"/>
      <c r="E37" s="177"/>
      <c r="F37" s="177"/>
      <c r="G37" s="631"/>
      <c r="H37" s="49"/>
      <c r="I37" s="49"/>
      <c r="J37" s="631"/>
      <c r="K37" s="49"/>
      <c r="L37" s="49"/>
      <c r="M37" s="631"/>
      <c r="N37" s="49"/>
      <c r="O37" s="49"/>
      <c r="P37" s="631"/>
    </row>
    <row r="38" spans="1:16" s="633" customFormat="1" ht="12.75" x14ac:dyDescent="0.2"/>
    <row r="39" spans="1:16" s="633" customFormat="1" ht="25.5" x14ac:dyDescent="0.2">
      <c r="A39" s="634"/>
      <c r="B39" s="1199" t="s">
        <v>716</v>
      </c>
      <c r="C39" s="1200"/>
      <c r="D39" s="635" t="s">
        <v>717</v>
      </c>
      <c r="E39" s="635" t="s">
        <v>1101</v>
      </c>
      <c r="F39" s="635" t="s">
        <v>918</v>
      </c>
      <c r="J39" s="634"/>
      <c r="K39" s="634"/>
      <c r="L39" s="634"/>
    </row>
    <row r="40" spans="1:16" s="633" customFormat="1" ht="12.75" customHeight="1" x14ac:dyDescent="0.2">
      <c r="B40" s="1199" t="s">
        <v>718</v>
      </c>
      <c r="C40" s="1200"/>
      <c r="D40" s="636"/>
      <c r="E40" s="637"/>
      <c r="F40" s="638"/>
      <c r="J40" s="40"/>
      <c r="K40" s="40"/>
      <c r="L40" s="40"/>
    </row>
    <row r="41" spans="1:16" s="633" customFormat="1" ht="12.75" x14ac:dyDescent="0.2">
      <c r="A41" s="634"/>
      <c r="B41" s="1199" t="s">
        <v>719</v>
      </c>
      <c r="C41" s="1200"/>
      <c r="D41" s="635">
        <v>4</v>
      </c>
      <c r="E41" s="639">
        <v>29.96</v>
      </c>
      <c r="F41" s="639">
        <f>ROUND(D41*E41,0)</f>
        <v>120</v>
      </c>
      <c r="J41" s="634"/>
      <c r="K41" s="640"/>
      <c r="L41" s="640"/>
    </row>
    <row r="42" spans="1:16" s="633" customFormat="1" ht="12.75" x14ac:dyDescent="0.2">
      <c r="A42" s="634"/>
      <c r="B42" s="1199" t="s">
        <v>720</v>
      </c>
      <c r="C42" s="1200"/>
      <c r="D42" s="635">
        <v>12</v>
      </c>
      <c r="E42" s="639">
        <v>29.96</v>
      </c>
      <c r="F42" s="639">
        <f t="shared" ref="F42:F45" si="0">ROUND(D42*E42,0)</f>
        <v>360</v>
      </c>
      <c r="J42" s="634"/>
      <c r="K42" s="640"/>
      <c r="L42" s="640"/>
    </row>
    <row r="43" spans="1:16" s="633" customFormat="1" ht="12.75" x14ac:dyDescent="0.2">
      <c r="A43" s="634"/>
      <c r="B43" s="1199" t="s">
        <v>721</v>
      </c>
      <c r="C43" s="1200"/>
      <c r="D43" s="635">
        <v>3</v>
      </c>
      <c r="E43" s="639">
        <v>29.96</v>
      </c>
      <c r="F43" s="639">
        <f t="shared" si="0"/>
        <v>90</v>
      </c>
      <c r="J43" s="634"/>
      <c r="K43" s="640"/>
      <c r="L43" s="640"/>
    </row>
    <row r="44" spans="1:16" s="633" customFormat="1" ht="12.75" x14ac:dyDescent="0.2">
      <c r="A44" s="634"/>
      <c r="B44" s="1199" t="s">
        <v>722</v>
      </c>
      <c r="C44" s="1200"/>
      <c r="D44" s="635">
        <v>5</v>
      </c>
      <c r="E44" s="639">
        <v>29.96</v>
      </c>
      <c r="F44" s="639">
        <f t="shared" si="0"/>
        <v>150</v>
      </c>
      <c r="J44" s="634"/>
      <c r="K44" s="640"/>
      <c r="L44" s="640"/>
    </row>
    <row r="45" spans="1:16" s="633" customFormat="1" ht="12.75" x14ac:dyDescent="0.2">
      <c r="A45" s="634"/>
      <c r="B45" s="1199" t="s">
        <v>723</v>
      </c>
      <c r="C45" s="1200"/>
      <c r="D45" s="635">
        <v>5</v>
      </c>
      <c r="E45" s="639">
        <v>29.96</v>
      </c>
      <c r="F45" s="639">
        <f t="shared" si="0"/>
        <v>150</v>
      </c>
      <c r="J45" s="634"/>
      <c r="K45" s="640"/>
      <c r="L45" s="640"/>
    </row>
    <row r="46" spans="1:16" s="641" customFormat="1" x14ac:dyDescent="0.25">
      <c r="A46" s="1"/>
      <c r="B46" s="2"/>
      <c r="C46" s="2"/>
      <c r="D46" s="4"/>
      <c r="E46" s="2"/>
      <c r="F46" s="2"/>
      <c r="G46" s="4"/>
      <c r="H46" s="2"/>
      <c r="I46" s="2"/>
      <c r="J46" s="4"/>
      <c r="K46" s="2"/>
      <c r="L46" s="2"/>
      <c r="M46" s="4"/>
      <c r="N46" s="2"/>
      <c r="O46" s="2"/>
      <c r="P46" s="4"/>
    </row>
    <row r="47" spans="1:16" s="642" customFormat="1" x14ac:dyDescent="0.25">
      <c r="A47" s="1"/>
      <c r="B47" s="8" t="s">
        <v>64</v>
      </c>
      <c r="C47" s="10">
        <f>ROUND(SUM(F41:F45),2)</f>
        <v>870</v>
      </c>
      <c r="D47" s="10" t="s">
        <v>1115</v>
      </c>
      <c r="F47" s="2"/>
      <c r="G47" s="4"/>
      <c r="H47" s="2"/>
      <c r="I47" s="2"/>
      <c r="J47" s="4"/>
      <c r="K47" s="2"/>
      <c r="L47" s="2"/>
      <c r="M47" s="4"/>
      <c r="N47" s="2"/>
      <c r="O47" s="2"/>
      <c r="P47" s="4"/>
    </row>
    <row r="48" spans="1:16" s="641" customFormat="1" x14ac:dyDescent="0.25">
      <c r="A48" s="1"/>
      <c r="B48" s="2"/>
      <c r="C48" s="2"/>
      <c r="D48" s="4"/>
      <c r="E48" s="2"/>
      <c r="F48" s="2"/>
      <c r="G48" s="4"/>
      <c r="H48" s="2"/>
      <c r="I48" s="2"/>
      <c r="J48" s="4"/>
      <c r="K48" s="2"/>
      <c r="L48" s="2"/>
      <c r="M48" s="4"/>
      <c r="N48" s="2"/>
      <c r="O48" s="2"/>
      <c r="P48" s="4"/>
    </row>
    <row r="49" spans="1:16" s="6" customFormat="1" x14ac:dyDescent="0.25">
      <c r="A49" s="1" t="str">
        <f>ORÇAMENTO!A45</f>
        <v>5.4</v>
      </c>
      <c r="B49" s="3" t="str">
        <f>ORÇAMENTO!D45</f>
        <v>LIXEIRA</v>
      </c>
      <c r="C49" s="2"/>
      <c r="D49" s="4"/>
      <c r="E49" s="2"/>
      <c r="F49" s="2"/>
      <c r="G49" s="4"/>
      <c r="H49" s="2"/>
      <c r="I49" s="2"/>
      <c r="J49" s="4"/>
      <c r="K49" s="2"/>
      <c r="L49" s="2"/>
      <c r="M49" s="4"/>
      <c r="N49" s="2"/>
      <c r="O49" s="2"/>
      <c r="P49" s="4"/>
    </row>
    <row r="50" spans="1:16" s="6" customFormat="1" x14ac:dyDescent="0.25">
      <c r="A50" s="1" t="str">
        <f>ORÇAMENTO!A46</f>
        <v>5.4.1</v>
      </c>
      <c r="B50" s="3" t="str">
        <f>ORÇAMENTO!D46</f>
        <v>ESCAVAÇÃO MANUAL DE VALA COM PROFUNDIDADE MENOR OU IGUAL A 1,30 M. AF_02/2021</v>
      </c>
      <c r="C50" s="2"/>
      <c r="D50" s="4"/>
      <c r="E50" s="2"/>
      <c r="F50" s="2"/>
      <c r="G50" s="4"/>
      <c r="H50" s="2"/>
      <c r="I50" s="2"/>
      <c r="J50" s="4"/>
      <c r="K50" s="2"/>
      <c r="L50" s="2"/>
      <c r="M50" s="4"/>
      <c r="N50" s="2"/>
      <c r="O50" s="2"/>
      <c r="P50" s="4"/>
    </row>
    <row r="51" spans="1:16" s="6" customFormat="1" ht="11.25" customHeight="1" x14ac:dyDescent="0.25">
      <c r="A51" s="2"/>
      <c r="B51" s="4"/>
      <c r="C51" s="2"/>
      <c r="D51" s="4"/>
      <c r="E51" s="2"/>
      <c r="F51" s="2"/>
      <c r="G51" s="4"/>
      <c r="H51" s="2"/>
      <c r="I51" s="2"/>
      <c r="J51" s="4"/>
      <c r="K51" s="2"/>
      <c r="L51" s="2"/>
      <c r="M51" s="4"/>
      <c r="N51" s="2"/>
      <c r="O51" s="2"/>
      <c r="P51" s="4"/>
    </row>
    <row r="52" spans="1:16" s="6" customFormat="1" x14ac:dyDescent="0.25">
      <c r="A52" s="1"/>
      <c r="B52" s="1193" t="s">
        <v>108</v>
      </c>
      <c r="C52" s="1193"/>
      <c r="D52" s="1193" t="s">
        <v>109</v>
      </c>
      <c r="E52" s="1193"/>
      <c r="F52" s="7" t="s">
        <v>98</v>
      </c>
      <c r="G52" s="2"/>
      <c r="H52" s="48" t="s">
        <v>146</v>
      </c>
      <c r="I52"/>
      <c r="J52" s="2" t="s">
        <v>107</v>
      </c>
      <c r="K52" s="2"/>
      <c r="L52" s="2"/>
      <c r="M52" s="4"/>
      <c r="N52" s="2"/>
      <c r="O52" s="2"/>
      <c r="P52" s="4"/>
    </row>
    <row r="53" spans="1:16" s="6" customFormat="1" x14ac:dyDescent="0.25">
      <c r="A53" s="1"/>
      <c r="B53" s="7"/>
      <c r="C53" s="7"/>
      <c r="D53" s="7"/>
      <c r="E53" s="7"/>
      <c r="F53" s="7"/>
      <c r="G53" s="2"/>
      <c r="H53" s="4"/>
      <c r="I53" s="7"/>
      <c r="J53" s="2"/>
      <c r="K53" s="2"/>
      <c r="L53" s="2"/>
      <c r="M53" s="4"/>
      <c r="N53" s="2"/>
      <c r="O53" s="2"/>
      <c r="P53" s="4"/>
    </row>
    <row r="54" spans="1:16" s="6" customFormat="1" x14ac:dyDescent="0.25">
      <c r="A54" s="1"/>
      <c r="B54" s="47">
        <f>0.3+0.1</f>
        <v>0.4</v>
      </c>
      <c r="C54" s="13" t="s">
        <v>22</v>
      </c>
      <c r="D54" s="15">
        <f>0.3+0.1</f>
        <v>0.4</v>
      </c>
      <c r="E54" s="2" t="s">
        <v>22</v>
      </c>
      <c r="F54" s="7">
        <v>0.5</v>
      </c>
      <c r="G54" s="49" t="s">
        <v>22</v>
      </c>
      <c r="H54" s="7">
        <v>13</v>
      </c>
      <c r="I54" s="44" t="s">
        <v>23</v>
      </c>
      <c r="J54" s="2">
        <f>ROUND((B54*D54*F54*H54),2)</f>
        <v>1.04</v>
      </c>
      <c r="K54" s="2"/>
      <c r="L54" s="2"/>
      <c r="M54" s="4"/>
      <c r="N54" s="2"/>
      <c r="O54" s="2"/>
      <c r="P54" s="4"/>
    </row>
    <row r="55" spans="1:16" s="6" customFormat="1" x14ac:dyDescent="0.25">
      <c r="A55" s="1"/>
      <c r="B55" s="13"/>
      <c r="C55" s="17"/>
      <c r="D55" s="7"/>
      <c r="E55" s="7"/>
      <c r="F55" s="2"/>
      <c r="G55" s="7"/>
      <c r="H55" s="2"/>
      <c r="I55" s="14"/>
      <c r="J55" s="2"/>
      <c r="K55" s="2"/>
      <c r="L55" s="2"/>
      <c r="M55" s="4"/>
      <c r="N55" s="2"/>
      <c r="O55" s="2"/>
      <c r="P55" s="4"/>
    </row>
    <row r="56" spans="1:16" s="6" customFormat="1" x14ac:dyDescent="0.25">
      <c r="A56" s="1"/>
      <c r="B56" s="13" t="s">
        <v>73</v>
      </c>
      <c r="C56" s="18">
        <f>J54</f>
        <v>1.04</v>
      </c>
      <c r="D56" s="9" t="s">
        <v>56</v>
      </c>
      <c r="E56" s="2"/>
      <c r="F56" s="14"/>
      <c r="G56" s="2"/>
      <c r="H56" s="14"/>
      <c r="I56" s="4"/>
      <c r="J56" s="7"/>
      <c r="K56" s="2"/>
      <c r="L56" s="2"/>
      <c r="M56" s="4"/>
      <c r="N56" s="2"/>
      <c r="O56" s="2"/>
      <c r="P56" s="4"/>
    </row>
    <row r="57" spans="1:16" s="6" customFormat="1" x14ac:dyDescent="0.25">
      <c r="A57" s="1"/>
      <c r="B57" s="3"/>
      <c r="C57" s="2"/>
      <c r="D57" s="4"/>
      <c r="E57" s="2"/>
      <c r="F57" s="2"/>
      <c r="G57" s="4"/>
      <c r="H57" s="2"/>
      <c r="I57" s="2"/>
      <c r="J57" s="4"/>
      <c r="K57" s="2"/>
      <c r="L57" s="2"/>
      <c r="M57" s="4"/>
      <c r="N57" s="2"/>
      <c r="O57" s="2"/>
      <c r="P57" s="4"/>
    </row>
    <row r="58" spans="1:16" s="6" customFormat="1" x14ac:dyDescent="0.25">
      <c r="A58" s="1" t="str">
        <f>ORÇAMENTO!A47</f>
        <v>5.4.2</v>
      </c>
      <c r="B58" s="3" t="str">
        <f>ORÇAMENTO!D47</f>
        <v>FABRICAÇÃO, MONTAGEM E DESMONTAGEM DE FÔRMA PARA SAPATA, EM MADEIRA SERRADA, E=25 MM, 4 UTILIZAÇÕES. AF_06/2017</v>
      </c>
      <c r="C58" s="2"/>
      <c r="D58" s="4"/>
      <c r="E58" s="2"/>
      <c r="F58" s="2"/>
      <c r="G58" s="4"/>
      <c r="H58" s="2"/>
      <c r="I58" s="2"/>
      <c r="J58" s="4"/>
      <c r="K58" s="2"/>
      <c r="L58" s="2"/>
      <c r="M58" s="4"/>
      <c r="N58" s="2"/>
      <c r="O58" s="2"/>
      <c r="P58" s="4"/>
    </row>
    <row r="59" spans="1:16" s="6" customFormat="1" x14ac:dyDescent="0.25">
      <c r="A59" s="1"/>
      <c r="B59" s="3"/>
      <c r="C59" s="2"/>
      <c r="D59" s="4"/>
      <c r="E59" s="2"/>
      <c r="F59" s="2"/>
      <c r="G59" s="4"/>
      <c r="H59" s="2"/>
      <c r="I59" s="2"/>
      <c r="J59" s="4"/>
      <c r="K59" s="2"/>
      <c r="L59" s="2"/>
      <c r="M59" s="4"/>
      <c r="N59" s="2"/>
      <c r="O59" s="2"/>
      <c r="P59" s="4"/>
    </row>
    <row r="60" spans="1:16" s="6" customFormat="1" ht="15" customHeight="1" x14ac:dyDescent="0.25">
      <c r="A60" s="1"/>
      <c r="B60" s="41"/>
      <c r="C60" s="1196" t="s">
        <v>111</v>
      </c>
      <c r="D60" s="1196"/>
      <c r="F60" s="1194" t="s">
        <v>75</v>
      </c>
      <c r="G60" s="1194"/>
      <c r="H60" s="73" t="s">
        <v>147</v>
      </c>
      <c r="I60" s="73"/>
      <c r="J60" s="4"/>
      <c r="K60" s="7" t="s">
        <v>72</v>
      </c>
      <c r="O60" s="2"/>
      <c r="P60" s="4"/>
    </row>
    <row r="61" spans="1:16" s="6" customFormat="1" x14ac:dyDescent="0.25">
      <c r="A61" s="1"/>
      <c r="B61" s="7" t="s">
        <v>54</v>
      </c>
      <c r="C61" s="19"/>
      <c r="D61" s="7">
        <f>0.3*4</f>
        <v>1.2</v>
      </c>
      <c r="E61" s="43" t="s">
        <v>22</v>
      </c>
      <c r="F61" s="7">
        <v>0.5</v>
      </c>
      <c r="G61" s="2" t="s">
        <v>22</v>
      </c>
      <c r="H61" s="309">
        <f>H54</f>
        <v>13</v>
      </c>
      <c r="J61" s="2" t="s">
        <v>23</v>
      </c>
      <c r="K61" s="7">
        <f>ROUND((D61*F61*H61),2)</f>
        <v>7.8</v>
      </c>
      <c r="L61" s="7" t="s">
        <v>68</v>
      </c>
      <c r="O61" s="2"/>
      <c r="P61" s="4"/>
    </row>
    <row r="62" spans="1:16" s="6" customFormat="1" x14ac:dyDescent="0.25">
      <c r="A62" s="1"/>
      <c r="B62" s="7"/>
      <c r="C62" s="19"/>
      <c r="D62" s="7"/>
      <c r="E62" s="7"/>
      <c r="F62" s="2"/>
      <c r="G62" s="14"/>
      <c r="H62" s="2"/>
      <c r="I62" s="14"/>
      <c r="J62" s="4"/>
      <c r="K62" s="7"/>
      <c r="L62" s="4"/>
      <c r="M62" s="4"/>
      <c r="N62" s="2"/>
      <c r="O62" s="2"/>
      <c r="P62" s="4"/>
    </row>
    <row r="63" spans="1:16" x14ac:dyDescent="0.25">
      <c r="A63" s="1"/>
      <c r="B63" s="2"/>
      <c r="C63" s="7" t="s">
        <v>73</v>
      </c>
      <c r="D63" s="18">
        <f>K61</f>
        <v>7.8</v>
      </c>
      <c r="E63" s="9" t="s">
        <v>68</v>
      </c>
      <c r="F63" s="2"/>
      <c r="G63" s="14"/>
      <c r="H63" s="2"/>
      <c r="I63" s="14"/>
      <c r="J63" s="4"/>
      <c r="K63" s="7"/>
      <c r="L63" s="2"/>
      <c r="M63" s="4"/>
      <c r="N63" s="2"/>
      <c r="O63" s="2"/>
      <c r="P63" s="4"/>
    </row>
    <row r="64" spans="1:16" s="6" customFormat="1" x14ac:dyDescent="0.25">
      <c r="A64" s="1"/>
      <c r="B64" s="2"/>
      <c r="C64" s="7"/>
      <c r="D64" s="7"/>
      <c r="E64" s="7"/>
      <c r="F64" s="2"/>
      <c r="G64" s="14"/>
      <c r="H64" s="2"/>
      <c r="I64" s="14"/>
      <c r="J64" s="4"/>
      <c r="K64" s="7"/>
      <c r="L64" s="2"/>
      <c r="M64" s="4"/>
      <c r="N64" s="2"/>
      <c r="O64" s="2"/>
      <c r="P64" s="4"/>
    </row>
    <row r="65" spans="1:16" s="6" customFormat="1" x14ac:dyDescent="0.25">
      <c r="A65" s="1" t="str">
        <f>ORÇAMENTO!A48</f>
        <v>5.4.3</v>
      </c>
      <c r="B65" s="3" t="str">
        <f>ORÇAMENTO!D48</f>
        <v xml:space="preserve">LASTRO DE CONCRETO MAGRO, APLICADO EM BLOCOS DE COROAMENTO OU SAPATAS, ESPESSURA DE 3 CM. AF_08/2017 </v>
      </c>
      <c r="C65" s="2"/>
      <c r="D65" s="4"/>
      <c r="E65" s="2"/>
      <c r="F65" s="2"/>
      <c r="G65" s="4"/>
      <c r="H65" s="2"/>
      <c r="I65" s="2"/>
      <c r="J65" s="4"/>
      <c r="K65" s="2"/>
      <c r="L65" s="2"/>
      <c r="M65" s="4"/>
      <c r="N65" s="2"/>
      <c r="O65" s="2"/>
      <c r="P65" s="4"/>
    </row>
    <row r="66" spans="1:16" s="6" customFormat="1" x14ac:dyDescent="0.25">
      <c r="A66" s="1"/>
      <c r="B66" s="3"/>
      <c r="C66" s="2"/>
      <c r="D66" s="4"/>
      <c r="E66" s="2"/>
      <c r="F66" s="2"/>
      <c r="G66" s="4"/>
      <c r="H66" s="2"/>
      <c r="I66" s="2"/>
      <c r="J66" s="4"/>
      <c r="K66" s="2"/>
      <c r="L66" s="2"/>
      <c r="M66" s="4"/>
      <c r="N66" s="2"/>
      <c r="O66" s="2"/>
      <c r="P66" s="4"/>
    </row>
    <row r="67" spans="1:16" s="6" customFormat="1" x14ac:dyDescent="0.25">
      <c r="A67" s="1"/>
      <c r="B67" s="1193" t="s">
        <v>108</v>
      </c>
      <c r="C67" s="1193"/>
      <c r="D67" s="1193" t="s">
        <v>109</v>
      </c>
      <c r="E67" s="1193"/>
      <c r="F67" s="48" t="s">
        <v>146</v>
      </c>
      <c r="G67" s="2"/>
      <c r="H67" s="2" t="s">
        <v>925</v>
      </c>
      <c r="I67"/>
      <c r="J67" s="2"/>
      <c r="K67" s="2"/>
      <c r="L67" s="2"/>
      <c r="M67" s="4"/>
      <c r="N67" s="2"/>
      <c r="O67" s="2"/>
      <c r="P67" s="4"/>
    </row>
    <row r="68" spans="1:16" s="6" customFormat="1" x14ac:dyDescent="0.25">
      <c r="A68" s="1"/>
      <c r="B68" s="7"/>
      <c r="C68" s="7"/>
      <c r="D68" s="7"/>
      <c r="E68" s="7"/>
      <c r="F68" s="7"/>
      <c r="G68" s="2"/>
      <c r="H68" s="4"/>
      <c r="I68" s="7"/>
      <c r="J68" s="2"/>
      <c r="K68" s="2"/>
      <c r="L68" s="2"/>
      <c r="M68" s="4"/>
      <c r="N68" s="2"/>
      <c r="O68" s="2"/>
      <c r="P68" s="4"/>
    </row>
    <row r="69" spans="1:16" s="6" customFormat="1" x14ac:dyDescent="0.25">
      <c r="A69" s="1"/>
      <c r="B69" s="47">
        <f>0.3+0.1</f>
        <v>0.4</v>
      </c>
      <c r="C69" s="13" t="s">
        <v>22</v>
      </c>
      <c r="D69" s="15">
        <f>0.3+0.1</f>
        <v>0.4</v>
      </c>
      <c r="E69" s="2" t="s">
        <v>22</v>
      </c>
      <c r="F69" s="7">
        <v>13</v>
      </c>
      <c r="G69" s="44" t="s">
        <v>23</v>
      </c>
      <c r="H69" s="7">
        <f>ROUND((B69*D69*F69),2)</f>
        <v>2.08</v>
      </c>
      <c r="I69" s="44"/>
      <c r="J69" s="2"/>
      <c r="K69" s="2"/>
      <c r="L69" s="2"/>
      <c r="M69" s="4"/>
      <c r="N69" s="2"/>
      <c r="O69" s="2"/>
      <c r="P69" s="4"/>
    </row>
    <row r="70" spans="1:16" s="6" customFormat="1" x14ac:dyDescent="0.25">
      <c r="A70" s="1"/>
      <c r="B70" s="13"/>
      <c r="C70" s="17"/>
      <c r="D70" s="7"/>
      <c r="E70" s="7"/>
      <c r="F70" s="2"/>
      <c r="G70" s="7"/>
      <c r="H70" s="2"/>
      <c r="I70" s="14"/>
      <c r="J70" s="2"/>
      <c r="K70" s="2"/>
      <c r="L70" s="2"/>
      <c r="M70" s="4"/>
      <c r="N70" s="2"/>
      <c r="O70" s="2"/>
      <c r="P70" s="4"/>
    </row>
    <row r="71" spans="1:16" s="6" customFormat="1" x14ac:dyDescent="0.25">
      <c r="A71" s="1"/>
      <c r="B71" s="13" t="s">
        <v>73</v>
      </c>
      <c r="C71" s="18">
        <f>H69</f>
        <v>2.08</v>
      </c>
      <c r="D71" s="9" t="s">
        <v>68</v>
      </c>
      <c r="E71" s="2"/>
      <c r="F71" s="14"/>
      <c r="G71" s="2"/>
      <c r="H71" s="14"/>
      <c r="I71" s="4"/>
      <c r="J71" s="7"/>
      <c r="K71" s="2"/>
      <c r="L71" s="2"/>
      <c r="M71" s="4"/>
      <c r="N71" s="2"/>
      <c r="O71" s="2"/>
      <c r="P71" s="4"/>
    </row>
    <row r="72" spans="1:16" s="6" customFormat="1" x14ac:dyDescent="0.25">
      <c r="A72" s="1"/>
      <c r="B72" s="2"/>
      <c r="C72" s="7"/>
      <c r="D72" s="7"/>
      <c r="E72" s="7"/>
      <c r="F72" s="2"/>
      <c r="G72" s="14"/>
      <c r="H72" s="2"/>
      <c r="I72" s="14"/>
      <c r="J72" s="4"/>
      <c r="K72" s="7"/>
      <c r="L72" s="2"/>
      <c r="M72" s="4"/>
      <c r="N72" s="2"/>
      <c r="O72" s="2"/>
      <c r="P72" s="4"/>
    </row>
    <row r="73" spans="1:16" s="6" customFormat="1" ht="18" customHeight="1" x14ac:dyDescent="0.25">
      <c r="A73" s="1" t="str">
        <f>ORÇAMENTO!A49</f>
        <v>5.4.4</v>
      </c>
      <c r="B73" s="3" t="str">
        <f>ORÇAMENTO!D49</f>
        <v>CONCRETO CICLÓPICO FCK = 15MPA, 30% PEDRA DE MÃO EM VOLUME REAL, INCLUSIVE LANÇAMENTO. AF_05/2021</v>
      </c>
      <c r="C73" s="7"/>
      <c r="D73" s="7"/>
      <c r="E73" s="7"/>
      <c r="F73" s="2"/>
      <c r="G73" s="14"/>
      <c r="H73" s="2"/>
      <c r="I73" s="14"/>
      <c r="J73" s="4"/>
      <c r="K73" s="7"/>
      <c r="L73" s="2"/>
      <c r="M73" s="4"/>
      <c r="N73" s="2"/>
      <c r="O73" s="2"/>
      <c r="P73" s="4"/>
    </row>
    <row r="74" spans="1:16" s="6" customFormat="1" x14ac:dyDescent="0.25">
      <c r="A74" s="2"/>
      <c r="B74" s="4"/>
      <c r="C74" s="7"/>
      <c r="D74" s="7"/>
      <c r="E74" s="7"/>
      <c r="F74" s="2"/>
      <c r="G74" s="14"/>
      <c r="H74" s="2"/>
      <c r="I74" s="14"/>
      <c r="J74" s="4"/>
      <c r="K74" s="7"/>
      <c r="L74" s="2"/>
      <c r="M74" s="4"/>
      <c r="N74" s="2"/>
      <c r="O74" s="2"/>
      <c r="P74" s="4"/>
    </row>
    <row r="75" spans="1:16" s="6" customFormat="1" x14ac:dyDescent="0.25">
      <c r="A75" s="1"/>
      <c r="B75" s="7" t="s">
        <v>112</v>
      </c>
      <c r="C75" s="7"/>
      <c r="D75" s="7" t="s">
        <v>110</v>
      </c>
      <c r="E75" s="2"/>
      <c r="F75" s="7" t="s">
        <v>113</v>
      </c>
      <c r="G75" s="52"/>
      <c r="H75" s="7" t="s">
        <v>121</v>
      </c>
      <c r="J75" s="2" t="s">
        <v>89</v>
      </c>
      <c r="L75" s="2"/>
      <c r="M75" s="4"/>
      <c r="N75" s="2"/>
      <c r="O75" s="2"/>
      <c r="P75" s="4"/>
    </row>
    <row r="76" spans="1:16" s="6" customFormat="1" x14ac:dyDescent="0.25">
      <c r="A76" s="1"/>
      <c r="B76" s="7">
        <v>0.3</v>
      </c>
      <c r="C76" s="7" t="s">
        <v>22</v>
      </c>
      <c r="D76" s="7">
        <v>0.3</v>
      </c>
      <c r="E76" s="2" t="s">
        <v>22</v>
      </c>
      <c r="F76" s="7">
        <v>0.5</v>
      </c>
      <c r="G76" s="2" t="s">
        <v>22</v>
      </c>
      <c r="H76" s="7">
        <f>H61</f>
        <v>13</v>
      </c>
      <c r="I76" s="2" t="s">
        <v>23</v>
      </c>
      <c r="J76" s="2">
        <f>ROUND((B76*D76*F76*H76),2)</f>
        <v>0.59</v>
      </c>
      <c r="K76" s="7" t="s">
        <v>56</v>
      </c>
      <c r="L76" s="2"/>
      <c r="M76" s="4"/>
      <c r="N76" s="2"/>
      <c r="O76" s="2"/>
      <c r="P76" s="4"/>
    </row>
    <row r="77" spans="1:16" s="6" customFormat="1" x14ac:dyDescent="0.25">
      <c r="A77" s="1"/>
      <c r="B77" s="7"/>
      <c r="C77" s="42"/>
      <c r="D77" s="7"/>
      <c r="E77" s="7"/>
      <c r="F77" s="2"/>
      <c r="G77" s="14"/>
      <c r="H77" s="2"/>
      <c r="I77" s="14"/>
      <c r="J77" s="4"/>
      <c r="K77" s="2"/>
      <c r="L77" s="2"/>
      <c r="M77" s="4"/>
      <c r="N77" s="2"/>
      <c r="O77" s="2"/>
      <c r="P77" s="4"/>
    </row>
    <row r="78" spans="1:16" s="6" customFormat="1" x14ac:dyDescent="0.25">
      <c r="A78" s="1"/>
      <c r="B78" s="7" t="s">
        <v>73</v>
      </c>
      <c r="C78" s="18">
        <f>J76</f>
        <v>0.59</v>
      </c>
      <c r="D78" s="9" t="s">
        <v>56</v>
      </c>
      <c r="E78" s="7"/>
      <c r="F78" s="2"/>
      <c r="G78" s="14"/>
      <c r="H78" s="2"/>
      <c r="I78" s="14"/>
      <c r="J78" s="4"/>
      <c r="K78" s="2"/>
      <c r="L78" s="2"/>
      <c r="M78" s="4"/>
      <c r="N78" s="2"/>
      <c r="O78" s="2"/>
      <c r="P78" s="4"/>
    </row>
    <row r="79" spans="1:16" s="6" customFormat="1" x14ac:dyDescent="0.25">
      <c r="A79" s="1"/>
      <c r="B79" s="7"/>
      <c r="C79" s="7"/>
      <c r="D79" s="7"/>
      <c r="E79" s="7"/>
      <c r="F79" s="2"/>
      <c r="G79" s="14"/>
      <c r="H79" s="2"/>
      <c r="I79" s="14"/>
      <c r="J79" s="4"/>
      <c r="K79" s="2"/>
      <c r="L79" s="2"/>
      <c r="M79" s="4"/>
      <c r="N79" s="2"/>
      <c r="O79" s="2"/>
      <c r="P79" s="4"/>
    </row>
    <row r="80" spans="1:16" s="6" customFormat="1" x14ac:dyDescent="0.25">
      <c r="A80" s="1" t="str">
        <f>ORÇAMENTO!A50</f>
        <v>5.4.5</v>
      </c>
      <c r="B80" s="310" t="str">
        <f>ORÇAMENTO!D50</f>
        <v>Lixeira em tela moeda</v>
      </c>
      <c r="C80" s="7"/>
      <c r="D80" s="7"/>
      <c r="E80" s="2"/>
      <c r="F80" s="7"/>
      <c r="G80" s="2"/>
      <c r="H80" s="14"/>
      <c r="I80" s="4"/>
      <c r="J80" s="2"/>
      <c r="K80" s="2"/>
      <c r="L80" s="2"/>
      <c r="M80" s="4"/>
      <c r="N80" s="2"/>
      <c r="O80" s="2"/>
      <c r="P80" s="4"/>
    </row>
    <row r="81" spans="1:16" s="6" customFormat="1" x14ac:dyDescent="0.25">
      <c r="A81" s="1"/>
      <c r="B81" s="7"/>
      <c r="C81" s="7"/>
      <c r="D81" s="7"/>
      <c r="E81" s="2"/>
      <c r="F81" s="7"/>
      <c r="G81" s="2"/>
      <c r="H81" s="14"/>
      <c r="I81" s="4"/>
      <c r="J81" s="2"/>
      <c r="K81" s="2"/>
      <c r="L81" s="2"/>
      <c r="M81" s="4"/>
      <c r="N81" s="2"/>
      <c r="O81" s="2"/>
      <c r="P81" s="4"/>
    </row>
    <row r="82" spans="1:16" s="6" customFormat="1" x14ac:dyDescent="0.25">
      <c r="A82" s="2"/>
      <c r="B82" s="18" t="s">
        <v>73</v>
      </c>
      <c r="C82" s="235">
        <f>H76</f>
        <v>13</v>
      </c>
      <c r="D82" s="9" t="s">
        <v>254</v>
      </c>
      <c r="E82" s="2"/>
      <c r="F82" s="14"/>
      <c r="G82" s="2"/>
      <c r="H82" s="14"/>
      <c r="I82" s="4"/>
      <c r="J82" s="7"/>
      <c r="K82" s="2"/>
      <c r="L82" s="2"/>
      <c r="M82" s="4"/>
      <c r="N82" s="2"/>
      <c r="O82" s="2"/>
      <c r="P82" s="4"/>
    </row>
    <row r="83" spans="1:16" x14ac:dyDescent="0.25">
      <c r="A83" s="1"/>
      <c r="B83" s="2"/>
      <c r="C83" s="2"/>
      <c r="D83" s="4"/>
      <c r="E83" s="2"/>
      <c r="F83" s="2"/>
      <c r="G83" s="4"/>
      <c r="H83" s="2"/>
      <c r="I83" s="2"/>
      <c r="J83" s="4"/>
      <c r="K83" s="2"/>
      <c r="L83" s="2"/>
      <c r="M83" s="4"/>
      <c r="N83" s="2"/>
      <c r="O83" s="2"/>
      <c r="P83" s="4"/>
    </row>
    <row r="84" spans="1:16" x14ac:dyDescent="0.25">
      <c r="A84" s="1" t="str">
        <f>ORÇAMENTO!A51</f>
        <v>5.5</v>
      </c>
      <c r="B84" s="3" t="str">
        <f>ORÇAMENTO!D51</f>
        <v xml:space="preserve">BANCOS EM CONCRETO </v>
      </c>
      <c r="C84" s="1"/>
      <c r="D84" s="3"/>
      <c r="E84" s="1"/>
      <c r="F84" s="1"/>
      <c r="G84" s="3"/>
      <c r="H84" s="1"/>
      <c r="I84" s="1"/>
      <c r="J84" s="3"/>
      <c r="K84" s="1"/>
      <c r="L84" s="2"/>
      <c r="M84" s="4"/>
      <c r="N84" s="2"/>
      <c r="O84" s="2"/>
      <c r="P84" s="4"/>
    </row>
    <row r="85" spans="1:16" x14ac:dyDescent="0.25">
      <c r="A85" s="1"/>
      <c r="B85" s="3"/>
      <c r="C85" s="2"/>
      <c r="D85" s="4"/>
      <c r="E85" s="2"/>
      <c r="F85" s="2"/>
      <c r="G85" s="4"/>
      <c r="H85" s="2"/>
      <c r="I85" s="2"/>
      <c r="J85" s="4"/>
      <c r="K85" s="2"/>
      <c r="L85" s="2"/>
      <c r="M85" s="4"/>
      <c r="N85" s="2"/>
      <c r="O85" s="2"/>
      <c r="P85" s="4"/>
    </row>
    <row r="86" spans="1:16" ht="30" customHeight="1" x14ac:dyDescent="0.25">
      <c r="A86" s="177" t="str">
        <f>ORÇAMENTO!A52</f>
        <v>5.5.1</v>
      </c>
      <c r="B86" s="1195" t="str">
        <f>ORÇAMENTO!D52</f>
        <v>BANCO ARQUEADO TIPO A -  EM CONCRETO ARMADO 20MPA, 13,50M DE COMPRIMENTO, LARGURA 0,50 DE ASSENTO, ALTURA 0,45 DO PISO. FUNDAÇÃO EM CONCRETO CICLÓPICO - FORNECIMENTO E EXECUÇÃO</v>
      </c>
      <c r="C86" s="1195"/>
      <c r="D86" s="1195"/>
      <c r="E86" s="1195"/>
      <c r="F86" s="1195"/>
      <c r="G86" s="1195"/>
      <c r="H86" s="1195"/>
      <c r="I86" s="1195"/>
      <c r="J86" s="1195"/>
      <c r="K86" s="1195"/>
      <c r="L86" s="1195"/>
      <c r="M86" s="1195"/>
      <c r="N86" s="1195"/>
      <c r="O86" s="1195"/>
      <c r="P86" s="1195"/>
    </row>
    <row r="87" spans="1:16" x14ac:dyDescent="0.25">
      <c r="A87" s="643"/>
      <c r="B87" s="1"/>
      <c r="C87" s="4"/>
      <c r="D87" s="2"/>
      <c r="E87" s="2"/>
      <c r="F87" s="4"/>
      <c r="G87" s="2"/>
      <c r="H87" s="2"/>
      <c r="I87" s="4"/>
      <c r="J87" s="2"/>
      <c r="K87" s="6"/>
      <c r="L87" s="6"/>
      <c r="M87" s="4"/>
      <c r="N87" s="2"/>
      <c r="O87" s="2"/>
      <c r="P87" s="4"/>
    </row>
    <row r="88" spans="1:16" s="6" customFormat="1" x14ac:dyDescent="0.25">
      <c r="A88" s="49"/>
      <c r="B88" s="18" t="s">
        <v>73</v>
      </c>
      <c r="C88" s="235">
        <v>9</v>
      </c>
      <c r="D88" s="9" t="s">
        <v>254</v>
      </c>
      <c r="E88" s="2"/>
      <c r="F88" s="14"/>
      <c r="G88" s="2"/>
      <c r="H88" s="14"/>
      <c r="I88" s="4"/>
      <c r="J88" s="7"/>
      <c r="K88" s="2"/>
      <c r="L88" s="2"/>
      <c r="M88" s="4"/>
      <c r="N88" s="2"/>
      <c r="O88" s="2"/>
      <c r="P88" s="4"/>
    </row>
    <row r="89" spans="1:16" ht="9.75" customHeight="1" x14ac:dyDescent="0.25">
      <c r="A89" s="49"/>
      <c r="B89" s="13"/>
      <c r="C89" s="7"/>
      <c r="D89" s="7"/>
      <c r="E89" s="2"/>
      <c r="F89" s="14"/>
      <c r="G89" s="2"/>
      <c r="H89" s="14"/>
      <c r="I89" s="4"/>
      <c r="J89" s="7"/>
      <c r="K89" s="2"/>
      <c r="L89" s="2"/>
      <c r="M89" s="4"/>
      <c r="N89" s="2"/>
      <c r="O89" s="2"/>
      <c r="P89" s="4"/>
    </row>
    <row r="90" spans="1:16" ht="30.75" customHeight="1" x14ac:dyDescent="0.25">
      <c r="A90" s="177" t="str">
        <f>ORÇAMENTO!A53</f>
        <v>5.5.2</v>
      </c>
      <c r="B90" s="1192" t="str">
        <f>ORÇAMENTO!D53</f>
        <v>BANCO ARQUEADO TIPO B - EM CONCRETO ARMADO 20MPA, 22,85M DE COMPRIMENTO, LARGURA 0,50 DE ASSENTO, ALTURA 0,45 DO PISO. FUNDAÇÃO EM CONCRETO CICLÓPICO - FORNECIMENTO E EXECUÇÃO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2"/>
      <c r="N90" s="1192"/>
      <c r="O90" s="1192"/>
      <c r="P90" s="1192"/>
    </row>
    <row r="91" spans="1:16" ht="9.75" customHeight="1" x14ac:dyDescent="0.25">
      <c r="A91" s="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2"/>
      <c r="O91" s="2"/>
      <c r="P91" s="4"/>
    </row>
    <row r="92" spans="1:16" x14ac:dyDescent="0.25">
      <c r="A92" s="2"/>
      <c r="B92" s="18" t="s">
        <v>73</v>
      </c>
      <c r="C92" s="235">
        <v>2</v>
      </c>
      <c r="D92" s="9" t="s">
        <v>254</v>
      </c>
      <c r="E92" s="2"/>
      <c r="F92" s="14"/>
      <c r="G92" s="2"/>
      <c r="H92" s="14"/>
      <c r="I92" s="4"/>
      <c r="J92" s="7"/>
      <c r="K92" s="2"/>
      <c r="L92" s="6"/>
      <c r="M92" s="2"/>
      <c r="N92" s="2"/>
      <c r="O92" s="2"/>
      <c r="P92" s="4"/>
    </row>
    <row r="93" spans="1:16" x14ac:dyDescent="0.25">
      <c r="B93" s="7"/>
      <c r="C93" s="16"/>
      <c r="D93" s="7"/>
      <c r="E93" s="7"/>
      <c r="F93" s="2"/>
      <c r="G93" s="14"/>
      <c r="H93" s="2"/>
      <c r="I93" s="14"/>
      <c r="J93" s="4"/>
      <c r="K93" s="7"/>
      <c r="L93" s="2"/>
      <c r="M93" s="2"/>
    </row>
    <row r="189" spans="4:4" ht="31.5" customHeight="1" x14ac:dyDescent="0.25">
      <c r="D189" s="798"/>
    </row>
  </sheetData>
  <mergeCells count="55">
    <mergeCell ref="B27:C27"/>
    <mergeCell ref="B28:C28"/>
    <mergeCell ref="B39:C39"/>
    <mergeCell ref="B45:C45"/>
    <mergeCell ref="B43:C43"/>
    <mergeCell ref="B40:C40"/>
    <mergeCell ref="B44:C44"/>
    <mergeCell ref="B42:C42"/>
    <mergeCell ref="B41:C41"/>
    <mergeCell ref="F22:G22"/>
    <mergeCell ref="B23:C23"/>
    <mergeCell ref="B24:C24"/>
    <mergeCell ref="B25:C25"/>
    <mergeCell ref="B26:C26"/>
    <mergeCell ref="J9:K9"/>
    <mergeCell ref="L9:P9"/>
    <mergeCell ref="A9:B9"/>
    <mergeCell ref="C9:I9"/>
    <mergeCell ref="B90:P90"/>
    <mergeCell ref="B52:C52"/>
    <mergeCell ref="D52:E52"/>
    <mergeCell ref="F60:G60"/>
    <mergeCell ref="B86:P86"/>
    <mergeCell ref="B67:C67"/>
    <mergeCell ref="D67:E67"/>
    <mergeCell ref="C60:D60"/>
    <mergeCell ref="B30:C30"/>
    <mergeCell ref="B21:C21"/>
    <mergeCell ref="B22:C22"/>
    <mergeCell ref="F21:G21"/>
    <mergeCell ref="J20:K20"/>
    <mergeCell ref="F20:G20"/>
    <mergeCell ref="B20:C20"/>
    <mergeCell ref="A12:P12"/>
    <mergeCell ref="A10:M10"/>
    <mergeCell ref="A11:P11"/>
    <mergeCell ref="A13:P13"/>
    <mergeCell ref="L7:P7"/>
    <mergeCell ref="J7:K8"/>
    <mergeCell ref="C7:I7"/>
    <mergeCell ref="A4:B4"/>
    <mergeCell ref="A5:B5"/>
    <mergeCell ref="A6:B6"/>
    <mergeCell ref="A7:B7"/>
    <mergeCell ref="A8:B8"/>
    <mergeCell ref="C5:P5"/>
    <mergeCell ref="C6:P6"/>
    <mergeCell ref="C8:I8"/>
    <mergeCell ref="L8:P8"/>
    <mergeCell ref="A2:M2"/>
    <mergeCell ref="A3:M3"/>
    <mergeCell ref="A1:P1"/>
    <mergeCell ref="O4:P4"/>
    <mergeCell ref="M4:N4"/>
    <mergeCell ref="C4:L4"/>
  </mergeCells>
  <pageMargins left="0.49" right="0.25" top="0.41" bottom="0.33" header="0.3" footer="0.16"/>
  <pageSetup paperSize="9" scale="54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P277"/>
  <sheetViews>
    <sheetView view="pageBreakPreview" topLeftCell="A256" zoomScale="70" zoomScaleNormal="85" zoomScaleSheetLayoutView="70" workbookViewId="0">
      <selection activeCell="R281" sqref="R281"/>
    </sheetView>
  </sheetViews>
  <sheetFormatPr defaultColWidth="9.140625" defaultRowHeight="14.25" x14ac:dyDescent="0.2"/>
  <cols>
    <col min="1" max="1" width="14.85546875" style="225" customWidth="1"/>
    <col min="2" max="2" width="16" style="225" customWidth="1"/>
    <col min="3" max="3" width="17.28515625" style="225" customWidth="1"/>
    <col min="4" max="4" width="15.5703125" style="225" customWidth="1"/>
    <col min="5" max="5" width="9.85546875" style="225" customWidth="1"/>
    <col min="6" max="6" width="13.140625" style="225" customWidth="1"/>
    <col min="7" max="7" width="9.140625" style="225"/>
    <col min="8" max="8" width="11.5703125" style="225" customWidth="1"/>
    <col min="9" max="9" width="10.28515625" style="225" bestFit="1" customWidth="1"/>
    <col min="10" max="10" width="11.28515625" style="225" bestFit="1" customWidth="1"/>
    <col min="11" max="13" width="9.140625" style="225"/>
    <col min="14" max="14" width="10.28515625" style="225" customWidth="1"/>
    <col min="15" max="16384" width="9.140625" style="179"/>
  </cols>
  <sheetData>
    <row r="1" spans="1:14" customFormat="1" ht="90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</row>
    <row r="2" spans="1:14" customFormat="1" ht="21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</row>
    <row r="3" spans="1:14" customFormat="1" ht="1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</row>
    <row r="4" spans="1:14" s="237" customFormat="1" ht="33.75" customHeight="1" x14ac:dyDescent="0.25">
      <c r="A4" s="969" t="s">
        <v>33</v>
      </c>
      <c r="B4" s="970"/>
      <c r="C4" s="973" t="str">
        <f>COMPOSIÇÕES!B4</f>
        <v>PREFEITURA MUNICIPAL DE BRASIL NOVO/PA</v>
      </c>
      <c r="D4" s="973"/>
      <c r="E4" s="973"/>
      <c r="F4" s="973"/>
      <c r="G4" s="973"/>
      <c r="H4" s="973"/>
      <c r="I4" s="973"/>
      <c r="J4" s="973"/>
      <c r="K4" s="1208" t="s">
        <v>859</v>
      </c>
      <c r="L4" s="1208"/>
      <c r="M4" s="1207" t="str">
        <f>ORÇAMENTO!J4</f>
        <v>BRASIL NOVO/PA</v>
      </c>
      <c r="N4" s="1207"/>
    </row>
    <row r="5" spans="1:14" s="237" customFormat="1" ht="21" customHeight="1" x14ac:dyDescent="0.25">
      <c r="A5" s="969" t="s">
        <v>860</v>
      </c>
      <c r="B5" s="970"/>
      <c r="C5" s="965" t="str">
        <f>COMPOSIÇÕES!B5</f>
        <v>CONSTRUÇÃO DE PRAÇA NO MUNICÍPIO DE BRASIL NOVO - PARÁ</v>
      </c>
      <c r="D5" s="965"/>
      <c r="E5" s="965"/>
      <c r="F5" s="965"/>
      <c r="G5" s="965"/>
      <c r="H5" s="965"/>
      <c r="I5" s="965"/>
      <c r="J5" s="965"/>
      <c r="K5" s="965"/>
      <c r="L5" s="965"/>
      <c r="M5" s="965"/>
      <c r="N5" s="965"/>
    </row>
    <row r="6" spans="1:14" s="237" customFormat="1" ht="27" customHeight="1" x14ac:dyDescent="0.25">
      <c r="A6" s="969" t="s">
        <v>861</v>
      </c>
      <c r="B6" s="970"/>
      <c r="C6" s="973" t="str">
        <f>ORÇAMENTO!B6</f>
        <v>AVENIDA TRANSAMAZÔNICA S/N, BRASIL NOVO/PA</v>
      </c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</row>
    <row r="7" spans="1:14" s="237" customFormat="1" ht="26.25" customHeight="1" x14ac:dyDescent="0.25">
      <c r="A7" s="980" t="s">
        <v>80</v>
      </c>
      <c r="B7" s="981"/>
      <c r="C7" s="1183">
        <f>ORÇAMENTO!B7</f>
        <v>0.29769428939090381</v>
      </c>
      <c r="D7" s="1183"/>
      <c r="E7" s="1183"/>
      <c r="F7" s="1183"/>
      <c r="G7" s="1183"/>
      <c r="H7" s="1206" t="s">
        <v>34</v>
      </c>
      <c r="I7" s="1151"/>
      <c r="J7" s="1147" t="str">
        <f>ORÇAMENTO!H7</f>
        <v>SINAPI FEVEREIRO 2022 - DESONERADA</v>
      </c>
      <c r="K7" s="1148"/>
      <c r="L7" s="1148"/>
      <c r="M7" s="1148"/>
      <c r="N7" s="1148"/>
    </row>
    <row r="8" spans="1:14" s="237" customFormat="1" ht="18.75" customHeight="1" x14ac:dyDescent="0.25">
      <c r="A8" s="969" t="s">
        <v>863</v>
      </c>
      <c r="B8" s="970"/>
      <c r="C8" s="965" t="str">
        <f>ORÇAMENTO!B8</f>
        <v>06 meses</v>
      </c>
      <c r="D8" s="965"/>
      <c r="E8" s="965"/>
      <c r="F8" s="965"/>
      <c r="G8" s="965"/>
      <c r="H8" s="1206"/>
      <c r="I8" s="1151"/>
      <c r="J8" s="1147" t="str">
        <f>ORÇAMENTO!H8</f>
        <v>SEDOP FEVEREIRO 2022 - DESONERADA</v>
      </c>
      <c r="K8" s="1148"/>
      <c r="L8" s="1148"/>
      <c r="M8" s="1148"/>
      <c r="N8" s="1148"/>
    </row>
    <row r="9" spans="1:14" s="237" customFormat="1" ht="24" customHeight="1" x14ac:dyDescent="0.25">
      <c r="A9" s="969" t="s">
        <v>865</v>
      </c>
      <c r="B9" s="970"/>
      <c r="C9" s="1124">
        <f>ORÇAMENTO!B9</f>
        <v>1202969.1098858207</v>
      </c>
      <c r="D9" s="1146"/>
      <c r="E9" s="1146"/>
      <c r="F9" s="1146"/>
      <c r="G9" s="1125"/>
      <c r="H9" s="1203" t="s">
        <v>864</v>
      </c>
      <c r="I9" s="1203"/>
      <c r="J9" s="963">
        <f>ORÇAMENTO!H9</f>
        <v>44749</v>
      </c>
      <c r="K9" s="963"/>
      <c r="L9" s="963"/>
      <c r="M9" s="963"/>
      <c r="N9" s="963"/>
    </row>
    <row r="10" spans="1:14" s="237" customFormat="1" ht="15" customHeight="1" thickBot="1" x14ac:dyDescent="0.3">
      <c r="A10" s="1138"/>
      <c r="B10" s="1139"/>
      <c r="C10" s="1139"/>
      <c r="D10" s="1139"/>
      <c r="E10" s="1139"/>
      <c r="F10" s="1139"/>
      <c r="G10" s="1139"/>
      <c r="H10" s="1191"/>
      <c r="I10" s="1191"/>
      <c r="J10" s="1191"/>
      <c r="K10" s="1191"/>
      <c r="L10" s="1191"/>
      <c r="M10" s="1191"/>
      <c r="N10" s="483"/>
    </row>
    <row r="11" spans="1:14" s="237" customFormat="1" ht="15" customHeight="1" thickBot="1" x14ac:dyDescent="0.3">
      <c r="A11" s="1140" t="s">
        <v>872</v>
      </c>
      <c r="B11" s="1141"/>
      <c r="C11" s="1141"/>
      <c r="D11" s="1141"/>
      <c r="E11" s="1141"/>
      <c r="F11" s="1141"/>
      <c r="G11" s="1141"/>
      <c r="H11" s="1141"/>
      <c r="I11" s="1141"/>
      <c r="J11" s="1141"/>
      <c r="K11" s="1141"/>
      <c r="L11" s="1141"/>
      <c r="M11" s="1141"/>
      <c r="N11" s="1142"/>
    </row>
    <row r="12" spans="1:14" s="237" customFormat="1" ht="15" customHeight="1" thickBot="1" x14ac:dyDescent="0.3">
      <c r="A12" s="485"/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</row>
    <row r="13" spans="1:14" s="237" customFormat="1" ht="15" customHeight="1" thickBot="1" x14ac:dyDescent="0.3">
      <c r="A13" s="1135" t="str">
        <f>ORÇAMENTO!D54</f>
        <v>PLAYGROUND</v>
      </c>
      <c r="B13" s="1136"/>
      <c r="C13" s="1136"/>
      <c r="D13" s="1136"/>
      <c r="E13" s="1136"/>
      <c r="F13" s="1136"/>
      <c r="G13" s="1136"/>
      <c r="H13" s="1136"/>
      <c r="I13" s="1136"/>
      <c r="J13" s="1136"/>
      <c r="K13" s="1136"/>
      <c r="L13" s="1136"/>
      <c r="M13" s="1136"/>
      <c r="N13" s="1137"/>
    </row>
    <row r="14" spans="1:14" s="237" customFormat="1" ht="19.5" customHeight="1" x14ac:dyDescent="0.25">
      <c r="A14" s="482"/>
      <c r="B14" s="483"/>
      <c r="C14" s="483"/>
      <c r="D14" s="483"/>
      <c r="E14" s="483"/>
      <c r="F14" s="483"/>
      <c r="G14" s="483"/>
      <c r="H14" s="483"/>
      <c r="I14" s="483"/>
      <c r="J14" s="483"/>
      <c r="K14" s="483"/>
      <c r="L14" s="483"/>
      <c r="M14" s="483"/>
      <c r="N14" s="483"/>
    </row>
    <row r="15" spans="1:14" ht="19.5" customHeight="1" x14ac:dyDescent="0.25">
      <c r="A15" s="266">
        <f>ORÇAMENTO!A54</f>
        <v>6</v>
      </c>
      <c r="B15" s="220" t="str">
        <f>ORÇAMENTO!D54</f>
        <v>PLAYGROUND</v>
      </c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</row>
    <row r="16" spans="1:14" ht="19.5" customHeight="1" x14ac:dyDescent="0.25">
      <c r="A16" s="220"/>
      <c r="B16" s="220"/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</row>
    <row r="17" spans="1:14" ht="15" x14ac:dyDescent="0.25">
      <c r="A17" s="267" t="str">
        <f>ORÇAMENTO!A55</f>
        <v>6.1</v>
      </c>
      <c r="B17" s="220" t="str">
        <f>ORÇAMENTO!D55</f>
        <v>INFRAESTRUTURA DO ALAMBRADO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</row>
    <row r="18" spans="1:14" ht="15" x14ac:dyDescent="0.25">
      <c r="A18" s="267"/>
      <c r="B18" s="220"/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</row>
    <row r="19" spans="1:14" ht="15" x14ac:dyDescent="0.25">
      <c r="A19" s="267" t="str">
        <f>ORÇAMENTO!A56</f>
        <v>6.1.1</v>
      </c>
      <c r="B19" s="220" t="str">
        <f>ORÇAMENTO!D56</f>
        <v>Escavação manual ate 1.50m de profundidade</v>
      </c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</row>
    <row r="20" spans="1:14" ht="15" x14ac:dyDescent="0.25">
      <c r="A20" s="220"/>
      <c r="B20" s="220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</row>
    <row r="21" spans="1:14" ht="15" x14ac:dyDescent="0.25">
      <c r="A21" s="220"/>
      <c r="B21" s="268" t="s">
        <v>649</v>
      </c>
      <c r="C21" s="269"/>
      <c r="D21" s="269"/>
      <c r="E21" s="269"/>
      <c r="F21" s="269"/>
      <c r="G21" s="269"/>
      <c r="H21" s="269"/>
      <c r="I21" s="269"/>
      <c r="J21" s="270"/>
      <c r="K21" s="189"/>
      <c r="L21" s="189"/>
      <c r="M21" s="189"/>
      <c r="N21" s="189"/>
    </row>
    <row r="22" spans="1:14" ht="28.5" x14ac:dyDescent="0.25">
      <c r="A22" s="220"/>
      <c r="B22" s="271" t="s">
        <v>392</v>
      </c>
      <c r="C22" s="271"/>
      <c r="D22" s="271" t="s">
        <v>731</v>
      </c>
      <c r="E22" s="272"/>
      <c r="F22" s="273" t="s">
        <v>650</v>
      </c>
      <c r="G22" s="272"/>
      <c r="H22" s="271" t="s">
        <v>270</v>
      </c>
      <c r="I22" s="272"/>
      <c r="J22" s="271" t="s">
        <v>154</v>
      </c>
      <c r="K22" s="189"/>
      <c r="L22" s="189"/>
      <c r="M22" s="189"/>
      <c r="N22" s="189"/>
    </row>
    <row r="23" spans="1:14" ht="15" x14ac:dyDescent="0.25">
      <c r="A23" s="220"/>
      <c r="B23" s="183">
        <f>0.2+0.1</f>
        <v>0.30000000000000004</v>
      </c>
      <c r="C23" s="271" t="s">
        <v>22</v>
      </c>
      <c r="D23" s="183">
        <f>0.2+0.1</f>
        <v>0.30000000000000004</v>
      </c>
      <c r="E23" s="271" t="s">
        <v>22</v>
      </c>
      <c r="F23" s="183">
        <v>0.63</v>
      </c>
      <c r="G23" s="271" t="s">
        <v>22</v>
      </c>
      <c r="H23" s="183">
        <v>38</v>
      </c>
      <c r="I23" s="271" t="s">
        <v>23</v>
      </c>
      <c r="J23" s="183">
        <f>((B23*D23*F23*H23))</f>
        <v>2.1546000000000007</v>
      </c>
      <c r="K23" s="189"/>
      <c r="L23" s="189"/>
      <c r="M23" s="189"/>
      <c r="N23" s="189"/>
    </row>
    <row r="24" spans="1:14" ht="15" x14ac:dyDescent="0.25">
      <c r="A24" s="220"/>
      <c r="B24" s="220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</row>
    <row r="25" spans="1:14" ht="15" x14ac:dyDescent="0.25">
      <c r="A25" s="220"/>
      <c r="B25" s="200" t="s">
        <v>54</v>
      </c>
      <c r="C25" s="201">
        <f>J23</f>
        <v>2.1546000000000007</v>
      </c>
      <c r="D25" s="202" t="s">
        <v>5</v>
      </c>
      <c r="F25" s="189"/>
      <c r="G25" s="189"/>
      <c r="H25" s="189"/>
      <c r="I25" s="189"/>
      <c r="J25" s="189"/>
      <c r="K25" s="189"/>
      <c r="L25" s="189"/>
      <c r="M25" s="189"/>
      <c r="N25" s="189"/>
    </row>
    <row r="26" spans="1:14" s="180" customFormat="1" ht="15" x14ac:dyDescent="0.25">
      <c r="A26" s="220"/>
      <c r="B26" s="274"/>
      <c r="C26" s="274"/>
      <c r="D26" s="274"/>
      <c r="E26" s="189"/>
      <c r="F26" s="189"/>
      <c r="G26" s="189"/>
      <c r="H26" s="189"/>
      <c r="I26" s="189"/>
      <c r="J26" s="189"/>
      <c r="K26" s="189"/>
      <c r="L26" s="189"/>
      <c r="M26" s="189"/>
      <c r="N26" s="189"/>
    </row>
    <row r="27" spans="1:14" s="180" customFormat="1" ht="15" x14ac:dyDescent="0.25">
      <c r="A27" s="267" t="str">
        <f>ORÇAMENTO!A57</f>
        <v>6.1.2</v>
      </c>
      <c r="B27" s="275" t="str">
        <f>ORÇAMENTO!D57</f>
        <v>LASTRO DE CONCRETO MAGRO, APLICADO EM BLOCOS DE COROAMENTO OU SAPATAS, ESPESSURA DE 3 CM. AF_08/2017</v>
      </c>
      <c r="C27" s="274"/>
      <c r="D27" s="274"/>
      <c r="E27" s="189"/>
      <c r="F27" s="189"/>
      <c r="G27" s="189"/>
      <c r="H27" s="189"/>
      <c r="I27" s="189"/>
      <c r="J27" s="189"/>
      <c r="K27" s="189"/>
      <c r="L27" s="189"/>
      <c r="M27" s="189"/>
      <c r="N27" s="189"/>
    </row>
    <row r="28" spans="1:14" s="180" customFormat="1" ht="15" x14ac:dyDescent="0.25">
      <c r="A28" s="220"/>
      <c r="B28" s="274"/>
      <c r="C28" s="274"/>
      <c r="D28" s="274"/>
      <c r="E28" s="189"/>
      <c r="F28" s="189"/>
      <c r="G28" s="189"/>
      <c r="H28" s="189"/>
      <c r="I28" s="189"/>
      <c r="J28" s="189"/>
      <c r="K28" s="189"/>
      <c r="L28" s="189"/>
      <c r="M28" s="189"/>
      <c r="N28" s="189"/>
    </row>
    <row r="29" spans="1:14" ht="15" x14ac:dyDescent="0.25">
      <c r="A29" s="220"/>
      <c r="B29" s="268" t="s">
        <v>651</v>
      </c>
      <c r="C29" s="269"/>
      <c r="D29" s="269"/>
      <c r="E29" s="269"/>
      <c r="F29" s="269"/>
      <c r="G29" s="269"/>
      <c r="H29" s="270"/>
      <c r="K29" s="189"/>
      <c r="L29" s="189"/>
      <c r="M29" s="189"/>
      <c r="N29" s="189"/>
    </row>
    <row r="30" spans="1:14" ht="15" x14ac:dyDescent="0.25">
      <c r="A30" s="220"/>
      <c r="B30" s="271" t="s">
        <v>152</v>
      </c>
      <c r="C30" s="271"/>
      <c r="D30" s="271" t="s">
        <v>106</v>
      </c>
      <c r="E30" s="272"/>
      <c r="F30" s="271" t="s">
        <v>270</v>
      </c>
      <c r="G30" s="272"/>
      <c r="H30" s="271" t="s">
        <v>154</v>
      </c>
      <c r="K30" s="189"/>
      <c r="L30" s="189"/>
      <c r="M30" s="189"/>
      <c r="N30" s="189"/>
    </row>
    <row r="31" spans="1:14" ht="15" x14ac:dyDescent="0.25">
      <c r="A31" s="220"/>
      <c r="B31" s="183">
        <f>B23</f>
        <v>0.30000000000000004</v>
      </c>
      <c r="C31" s="183" t="str">
        <f>C23</f>
        <v>x</v>
      </c>
      <c r="D31" s="183">
        <f>D23</f>
        <v>0.30000000000000004</v>
      </c>
      <c r="E31" s="271" t="s">
        <v>22</v>
      </c>
      <c r="F31" s="183">
        <f>H23</f>
        <v>38</v>
      </c>
      <c r="G31" s="271" t="s">
        <v>23</v>
      </c>
      <c r="H31" s="183">
        <f>((B31*D31*F31))</f>
        <v>3.4200000000000008</v>
      </c>
      <c r="K31" s="189"/>
      <c r="L31" s="189"/>
      <c r="M31" s="189"/>
      <c r="N31" s="189"/>
    </row>
    <row r="32" spans="1:14" ht="15" x14ac:dyDescent="0.25">
      <c r="A32" s="220"/>
      <c r="B32" s="220"/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189"/>
    </row>
    <row r="33" spans="1:14" ht="15" x14ac:dyDescent="0.25">
      <c r="A33" s="220"/>
      <c r="B33" s="200" t="s">
        <v>54</v>
      </c>
      <c r="C33" s="201">
        <f>H31</f>
        <v>3.4200000000000008</v>
      </c>
      <c r="D33" s="202" t="s">
        <v>4</v>
      </c>
      <c r="F33" s="189"/>
      <c r="G33" s="189"/>
      <c r="H33" s="189"/>
      <c r="I33" s="189"/>
      <c r="J33" s="189"/>
      <c r="K33" s="189"/>
      <c r="L33" s="189"/>
      <c r="M33" s="189"/>
      <c r="N33" s="189"/>
    </row>
    <row r="34" spans="1:14" s="180" customFormat="1" ht="15" x14ac:dyDescent="0.25">
      <c r="A34" s="220"/>
      <c r="B34" s="274"/>
      <c r="C34" s="274"/>
      <c r="D34" s="274"/>
      <c r="E34" s="189"/>
      <c r="F34" s="189"/>
      <c r="G34" s="189"/>
      <c r="H34" s="189"/>
      <c r="I34" s="189"/>
      <c r="J34" s="189"/>
      <c r="K34" s="189"/>
      <c r="L34" s="189"/>
      <c r="M34" s="189"/>
      <c r="N34" s="189"/>
    </row>
    <row r="35" spans="1:14" ht="15" x14ac:dyDescent="0.25">
      <c r="A35" s="276" t="str">
        <f>ORÇAMENTO!A58</f>
        <v>6.1.3</v>
      </c>
      <c r="B35" s="1201" t="str">
        <f>ORÇAMENTO!D58</f>
        <v>FABRICAÇÃO, MONTAGEM E DESMONTAGEM DE FÔRMA PARA BLOCO DE COROAMENTO, EM MADEIRA SERRADA, E=25 MM, 4 UTILIZAÇÕES. AF_06/2017</v>
      </c>
      <c r="C35" s="1202"/>
      <c r="D35" s="1202"/>
      <c r="E35" s="1202"/>
      <c r="F35" s="1202"/>
      <c r="G35" s="1202"/>
      <c r="H35" s="1202"/>
      <c r="I35" s="1202"/>
      <c r="J35" s="1202"/>
      <c r="K35" s="1202"/>
      <c r="L35" s="1202"/>
      <c r="M35" s="1202"/>
      <c r="N35" s="1202"/>
    </row>
    <row r="36" spans="1:14" ht="15" x14ac:dyDescent="0.25">
      <c r="A36" s="220"/>
      <c r="B36" s="220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</row>
    <row r="37" spans="1:14" ht="15" x14ac:dyDescent="0.25">
      <c r="A37" s="220"/>
      <c r="B37" s="277" t="s">
        <v>652</v>
      </c>
      <c r="C37" s="278"/>
      <c r="D37" s="278"/>
      <c r="E37" s="278"/>
      <c r="F37" s="278"/>
      <c r="G37" s="278"/>
      <c r="H37" s="278"/>
      <c r="I37" s="278"/>
      <c r="J37" s="279"/>
      <c r="K37" s="189"/>
      <c r="L37" s="189"/>
      <c r="M37" s="189"/>
      <c r="N37" s="189"/>
    </row>
    <row r="38" spans="1:14" ht="15" x14ac:dyDescent="0.25">
      <c r="A38" s="220"/>
      <c r="B38" s="280" t="s">
        <v>653</v>
      </c>
      <c r="C38" s="280"/>
      <c r="D38" s="280" t="s">
        <v>98</v>
      </c>
      <c r="E38" s="280"/>
      <c r="F38" s="280" t="s">
        <v>127</v>
      </c>
      <c r="G38" s="280"/>
      <c r="H38" s="280" t="s">
        <v>270</v>
      </c>
      <c r="I38" s="280"/>
      <c r="J38" s="280" t="s">
        <v>154</v>
      </c>
      <c r="K38" s="189"/>
      <c r="L38" s="189"/>
      <c r="M38" s="189"/>
      <c r="N38" s="189"/>
    </row>
    <row r="39" spans="1:14" ht="15" x14ac:dyDescent="0.25">
      <c r="A39" s="220"/>
      <c r="B39" s="183">
        <v>0.2</v>
      </c>
      <c r="C39" s="271" t="s">
        <v>22</v>
      </c>
      <c r="D39" s="183">
        <v>0.45</v>
      </c>
      <c r="E39" s="271" t="s">
        <v>22</v>
      </c>
      <c r="F39" s="183">
        <v>4</v>
      </c>
      <c r="G39" s="271" t="s">
        <v>22</v>
      </c>
      <c r="H39" s="183">
        <f>H23</f>
        <v>38</v>
      </c>
      <c r="I39" s="271" t="s">
        <v>23</v>
      </c>
      <c r="J39" s="183">
        <f>((B39*D39*F39*H39))</f>
        <v>13.680000000000001</v>
      </c>
      <c r="K39" s="189"/>
      <c r="L39" s="189"/>
      <c r="M39" s="189"/>
      <c r="N39" s="189"/>
    </row>
    <row r="40" spans="1:14" ht="15" x14ac:dyDescent="0.25">
      <c r="A40" s="220"/>
      <c r="B40" s="220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</row>
    <row r="41" spans="1:14" ht="15" x14ac:dyDescent="0.25">
      <c r="A41" s="261"/>
      <c r="B41" s="200" t="s">
        <v>54</v>
      </c>
      <c r="C41" s="201">
        <f>J39</f>
        <v>13.680000000000001</v>
      </c>
      <c r="D41" s="202" t="s">
        <v>4</v>
      </c>
      <c r="F41" s="189"/>
      <c r="G41" s="189"/>
      <c r="H41" s="189"/>
      <c r="I41" s="189"/>
      <c r="J41" s="189"/>
      <c r="K41" s="189"/>
      <c r="L41" s="189"/>
      <c r="M41" s="189"/>
      <c r="N41" s="189"/>
    </row>
    <row r="42" spans="1:14" ht="15" x14ac:dyDescent="0.25">
      <c r="A42" s="220"/>
      <c r="B42" s="220"/>
      <c r="C42" s="189"/>
      <c r="D42" s="189"/>
      <c r="E42" s="189"/>
      <c r="F42" s="189"/>
      <c r="G42" s="189"/>
      <c r="H42" s="189"/>
      <c r="I42" s="189"/>
      <c r="J42" s="189"/>
      <c r="K42" s="189"/>
      <c r="L42" s="189"/>
      <c r="M42" s="189"/>
      <c r="N42" s="189"/>
    </row>
    <row r="43" spans="1:14" ht="15" x14ac:dyDescent="0.2">
      <c r="A43" s="276" t="str">
        <f>ORÇAMENTO!A59</f>
        <v>6.1.4</v>
      </c>
      <c r="B43" s="1204" t="str">
        <f>ORÇAMENTO!D59</f>
        <v>CONCRETO CICLÓPICO FCK = 15MPA, 30% PEDRA DE MÃO EM VOLUME REAL, INCLUSIVE LANÇAMENTO. AF_05/2021</v>
      </c>
      <c r="C43" s="1204"/>
      <c r="D43" s="1204"/>
      <c r="E43" s="1204"/>
      <c r="F43" s="1204"/>
      <c r="G43" s="1204"/>
      <c r="H43" s="1204"/>
      <c r="I43" s="1204"/>
      <c r="J43" s="1204"/>
      <c r="K43" s="1204"/>
      <c r="L43" s="1204"/>
      <c r="M43" s="1204"/>
      <c r="N43" s="1204"/>
    </row>
    <row r="44" spans="1:14" ht="15" x14ac:dyDescent="0.25">
      <c r="A44" s="220"/>
      <c r="B44" s="220"/>
      <c r="C44" s="189"/>
      <c r="D44" s="189"/>
      <c r="E44" s="189"/>
      <c r="F44" s="189"/>
      <c r="G44" s="189"/>
      <c r="H44" s="189"/>
      <c r="I44" s="189"/>
      <c r="J44" s="189"/>
      <c r="K44" s="189"/>
      <c r="L44" s="189"/>
      <c r="M44" s="189"/>
      <c r="N44" s="189"/>
    </row>
    <row r="45" spans="1:14" ht="15" x14ac:dyDescent="0.25">
      <c r="A45" s="220"/>
      <c r="B45" s="268" t="s">
        <v>654</v>
      </c>
      <c r="C45" s="269"/>
      <c r="D45" s="269"/>
      <c r="E45" s="269"/>
      <c r="F45" s="269"/>
      <c r="G45" s="269"/>
      <c r="H45" s="269"/>
      <c r="I45" s="269"/>
      <c r="J45" s="270"/>
      <c r="K45" s="189"/>
      <c r="L45" s="189"/>
      <c r="M45" s="189"/>
      <c r="N45" s="189"/>
    </row>
    <row r="46" spans="1:14" ht="15" x14ac:dyDescent="0.25">
      <c r="A46" s="220"/>
      <c r="B46" s="272" t="s">
        <v>152</v>
      </c>
      <c r="C46" s="272"/>
      <c r="D46" s="271" t="s">
        <v>106</v>
      </c>
      <c r="E46" s="272"/>
      <c r="F46" s="271" t="s">
        <v>98</v>
      </c>
      <c r="G46" s="272"/>
      <c r="H46" s="281" t="s">
        <v>270</v>
      </c>
      <c r="I46" s="272"/>
      <c r="J46" s="271" t="s">
        <v>154</v>
      </c>
      <c r="K46" s="189"/>
      <c r="L46" s="189"/>
      <c r="M46" s="189"/>
      <c r="N46" s="189"/>
    </row>
    <row r="47" spans="1:14" ht="15" x14ac:dyDescent="0.25">
      <c r="A47" s="220"/>
      <c r="B47" s="183">
        <f>B39</f>
        <v>0.2</v>
      </c>
      <c r="C47" s="183" t="str">
        <f>C39</f>
        <v>x</v>
      </c>
      <c r="D47" s="183">
        <v>0.2</v>
      </c>
      <c r="E47" s="271" t="s">
        <v>22</v>
      </c>
      <c r="F47" s="183">
        <f>D39</f>
        <v>0.45</v>
      </c>
      <c r="G47" s="271" t="s">
        <v>22</v>
      </c>
      <c r="H47" s="183">
        <f>H39</f>
        <v>38</v>
      </c>
      <c r="I47" s="271" t="s">
        <v>23</v>
      </c>
      <c r="J47" s="183">
        <f>ROUND((B47*D47*F47*H47),2)</f>
        <v>0.68</v>
      </c>
      <c r="K47" s="189"/>
      <c r="L47" s="189"/>
      <c r="M47" s="189"/>
      <c r="N47" s="189"/>
    </row>
    <row r="48" spans="1:14" ht="15" x14ac:dyDescent="0.25">
      <c r="A48" s="220"/>
      <c r="B48" s="220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</row>
    <row r="49" spans="1:14" ht="15" x14ac:dyDescent="0.25">
      <c r="A49" s="220"/>
      <c r="B49" s="200" t="s">
        <v>54</v>
      </c>
      <c r="C49" s="201">
        <f>J47</f>
        <v>0.68</v>
      </c>
      <c r="D49" s="202" t="s">
        <v>5</v>
      </c>
      <c r="F49" s="189"/>
      <c r="G49" s="189"/>
      <c r="H49" s="189"/>
      <c r="I49" s="189"/>
      <c r="J49" s="189"/>
      <c r="K49" s="189"/>
      <c r="L49" s="189"/>
      <c r="M49" s="189"/>
      <c r="N49" s="189"/>
    </row>
    <row r="50" spans="1:14" ht="15" x14ac:dyDescent="0.25">
      <c r="A50" s="220"/>
      <c r="B50" s="220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</row>
    <row r="51" spans="1:14" ht="20.25" customHeight="1" x14ac:dyDescent="0.2">
      <c r="A51" s="276" t="str">
        <f>ORÇAMENTO!A60</f>
        <v>6.2</v>
      </c>
      <c r="B51" s="1204" t="str">
        <f>ORÇAMENTO!D60</f>
        <v>COLCHÃO DE AREIA</v>
      </c>
      <c r="C51" s="1204"/>
      <c r="D51" s="1204"/>
      <c r="E51" s="1204"/>
      <c r="F51" s="1204"/>
      <c r="G51" s="1204"/>
      <c r="H51" s="1204"/>
      <c r="I51" s="1204"/>
      <c r="J51" s="1204"/>
      <c r="K51" s="1204"/>
      <c r="L51" s="1204"/>
      <c r="M51" s="1204"/>
      <c r="N51" s="1204"/>
    </row>
    <row r="52" spans="1:14" s="283" customFormat="1" ht="15" x14ac:dyDescent="0.25">
      <c r="A52" s="276" t="str">
        <f>ORÇAMENTO!A61</f>
        <v>6.2.1</v>
      </c>
      <c r="B52" s="1205" t="str">
        <f>ORÇAMENTO!D61</f>
        <v>Escavação manual ate 1.50m de profundidade</v>
      </c>
      <c r="C52" s="1205"/>
      <c r="D52" s="1205"/>
      <c r="E52" s="1205"/>
      <c r="F52" s="1205"/>
      <c r="G52" s="1205"/>
      <c r="H52" s="1205"/>
      <c r="I52" s="1205"/>
      <c r="J52" s="1205"/>
      <c r="K52" s="1205"/>
      <c r="L52" s="1205"/>
      <c r="M52" s="282"/>
      <c r="N52" s="282"/>
    </row>
    <row r="53" spans="1:14" s="283" customFormat="1" ht="15" x14ac:dyDescent="0.25">
      <c r="A53" s="276"/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282"/>
      <c r="N53" s="282"/>
    </row>
    <row r="54" spans="1:14" x14ac:dyDescent="0.2">
      <c r="A54" s="189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</row>
    <row r="55" spans="1:14" x14ac:dyDescent="0.2">
      <c r="A55" s="189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</row>
    <row r="56" spans="1:14" x14ac:dyDescent="0.2">
      <c r="A56" s="189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</row>
    <row r="57" spans="1:14" x14ac:dyDescent="0.2">
      <c r="A57" s="189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</row>
    <row r="58" spans="1:14" x14ac:dyDescent="0.2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</row>
    <row r="59" spans="1:14" x14ac:dyDescent="0.2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</row>
    <row r="60" spans="1:14" x14ac:dyDescent="0.2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</row>
    <row r="61" spans="1:14" x14ac:dyDescent="0.2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</row>
    <row r="62" spans="1:14" x14ac:dyDescent="0.2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</row>
    <row r="63" spans="1:14" x14ac:dyDescent="0.2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</row>
    <row r="64" spans="1:14" x14ac:dyDescent="0.2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</row>
    <row r="65" spans="1:16" x14ac:dyDescent="0.2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</row>
    <row r="66" spans="1:16" x14ac:dyDescent="0.2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</row>
    <row r="67" spans="1:16" x14ac:dyDescent="0.2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</row>
    <row r="68" spans="1:16" x14ac:dyDescent="0.2">
      <c r="A68" s="189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P68" s="179">
        <f>2*3.14*(29.79/2)</f>
        <v>93.540599999999998</v>
      </c>
    </row>
    <row r="69" spans="1:16" x14ac:dyDescent="0.2">
      <c r="A69" s="189"/>
      <c r="B69" s="284"/>
      <c r="C69" s="284"/>
      <c r="D69" s="284"/>
      <c r="E69" s="284"/>
      <c r="F69" s="284"/>
      <c r="G69" s="284"/>
      <c r="H69" s="284"/>
      <c r="I69" s="284"/>
      <c r="J69" s="284"/>
      <c r="K69" s="284"/>
      <c r="L69" s="189"/>
      <c r="M69" s="189"/>
      <c r="N69" s="189"/>
    </row>
    <row r="70" spans="1:16" ht="15" x14ac:dyDescent="0.2">
      <c r="A70" s="189"/>
      <c r="B70" s="1209"/>
      <c r="C70" s="1209"/>
      <c r="D70" s="1209"/>
      <c r="E70" s="1209"/>
      <c r="F70" s="1209"/>
      <c r="G70" s="284"/>
      <c r="H70" s="284"/>
      <c r="I70" s="284"/>
      <c r="J70" s="284"/>
      <c r="K70" s="284"/>
      <c r="L70" s="189"/>
      <c r="M70" s="189"/>
      <c r="N70" s="189"/>
    </row>
    <row r="71" spans="1:16" x14ac:dyDescent="0.2">
      <c r="A71" s="189"/>
      <c r="B71" s="292"/>
      <c r="C71" s="292"/>
      <c r="D71" s="292"/>
      <c r="E71" s="292"/>
      <c r="F71" s="292"/>
      <c r="G71" s="284"/>
      <c r="H71" s="284"/>
      <c r="I71" s="284"/>
      <c r="J71" s="284"/>
      <c r="K71" s="284"/>
      <c r="L71" s="189"/>
      <c r="M71" s="189"/>
      <c r="N71" s="189"/>
    </row>
    <row r="72" spans="1:16" ht="15" x14ac:dyDescent="0.2">
      <c r="A72" s="189"/>
      <c r="B72" s="1210"/>
      <c r="C72" s="1210"/>
      <c r="D72" s="1210"/>
      <c r="E72" s="317"/>
      <c r="F72" s="317"/>
      <c r="G72" s="284"/>
      <c r="H72" s="284"/>
      <c r="I72" s="284"/>
      <c r="J72" s="284"/>
      <c r="K72" s="284"/>
      <c r="L72" s="189"/>
      <c r="M72" s="189"/>
      <c r="N72" s="189"/>
    </row>
    <row r="73" spans="1:16" ht="15" x14ac:dyDescent="0.2">
      <c r="A73" s="189"/>
      <c r="B73" s="317"/>
      <c r="C73" s="317"/>
      <c r="D73" s="317"/>
      <c r="E73" s="317"/>
      <c r="F73" s="317"/>
      <c r="G73" s="284"/>
      <c r="H73" s="284"/>
      <c r="I73" s="284"/>
      <c r="J73" s="284"/>
      <c r="K73" s="284"/>
      <c r="L73" s="189"/>
      <c r="M73" s="189"/>
      <c r="N73" s="189"/>
    </row>
    <row r="74" spans="1:16" x14ac:dyDescent="0.2">
      <c r="A74" s="189"/>
      <c r="B74" s="1211"/>
      <c r="C74" s="1211"/>
      <c r="D74" s="1211"/>
      <c r="E74" s="1211"/>
      <c r="F74" s="1211"/>
      <c r="G74" s="284"/>
      <c r="H74" s="284"/>
      <c r="I74" s="284"/>
      <c r="J74" s="284"/>
      <c r="K74" s="284"/>
      <c r="L74" s="189"/>
      <c r="M74" s="189"/>
      <c r="N74" s="189"/>
    </row>
    <row r="75" spans="1:16" x14ac:dyDescent="0.2">
      <c r="A75" s="189"/>
      <c r="B75" s="292"/>
      <c r="C75" s="292"/>
      <c r="D75" s="292"/>
      <c r="E75" s="292"/>
      <c r="F75" s="292"/>
      <c r="G75" s="284"/>
      <c r="H75" s="284"/>
      <c r="I75" s="284"/>
      <c r="J75" s="284"/>
      <c r="K75" s="284"/>
      <c r="L75" s="189"/>
      <c r="M75" s="189"/>
      <c r="N75" s="189"/>
    </row>
    <row r="76" spans="1:16" ht="15" x14ac:dyDescent="0.2">
      <c r="A76" s="189"/>
      <c r="B76" s="292"/>
      <c r="C76" s="292"/>
      <c r="D76" s="292"/>
      <c r="E76" s="292"/>
      <c r="F76" s="317"/>
      <c r="G76" s="284"/>
      <c r="H76" s="284"/>
      <c r="I76" s="284"/>
      <c r="J76" s="284"/>
      <c r="K76" s="284"/>
      <c r="L76" s="189"/>
      <c r="M76" s="189"/>
      <c r="N76" s="189"/>
    </row>
    <row r="77" spans="1:16" x14ac:dyDescent="0.2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</row>
    <row r="78" spans="1:16" x14ac:dyDescent="0.2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</row>
    <row r="79" spans="1:16" x14ac:dyDescent="0.2">
      <c r="A79" s="189"/>
      <c r="B79" s="1215" t="s">
        <v>655</v>
      </c>
      <c r="C79" s="1215"/>
      <c r="D79" s="1215"/>
      <c r="E79" s="1215"/>
      <c r="F79" s="1215"/>
      <c r="G79" s="284"/>
      <c r="H79" s="284"/>
      <c r="I79" s="284"/>
      <c r="J79" s="284"/>
      <c r="K79" s="284"/>
      <c r="L79" s="189"/>
      <c r="M79" s="189"/>
      <c r="N79" s="189"/>
    </row>
    <row r="80" spans="1:16" x14ac:dyDescent="0.2">
      <c r="A80" s="189"/>
      <c r="B80" s="183" t="s">
        <v>581</v>
      </c>
      <c r="C80" s="183"/>
      <c r="D80" s="183" t="s">
        <v>269</v>
      </c>
      <c r="E80" s="183"/>
      <c r="F80" s="183" t="s">
        <v>154</v>
      </c>
      <c r="G80" s="284"/>
      <c r="H80" s="284"/>
      <c r="I80" s="284"/>
      <c r="J80" s="284"/>
      <c r="K80" s="284"/>
      <c r="L80" s="189"/>
      <c r="M80" s="189"/>
      <c r="N80" s="189"/>
    </row>
    <row r="81" spans="1:14" ht="15" x14ac:dyDescent="0.2">
      <c r="A81" s="189"/>
      <c r="B81" s="183">
        <v>372.35</v>
      </c>
      <c r="C81" s="183" t="s">
        <v>22</v>
      </c>
      <c r="D81" s="183">
        <v>0.3</v>
      </c>
      <c r="E81" s="183" t="s">
        <v>23</v>
      </c>
      <c r="F81" s="285">
        <f>ROUND((B81*D81),2)</f>
        <v>111.71</v>
      </c>
      <c r="G81" s="284"/>
      <c r="H81" s="284"/>
      <c r="I81" s="284"/>
      <c r="J81" s="284"/>
      <c r="K81" s="284"/>
      <c r="L81" s="189"/>
      <c r="M81" s="189"/>
      <c r="N81" s="189"/>
    </row>
    <row r="82" spans="1:14" x14ac:dyDescent="0.2">
      <c r="A82" s="189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</row>
    <row r="83" spans="1:14" x14ac:dyDescent="0.2">
      <c r="A83" s="138"/>
      <c r="B83" s="200" t="s">
        <v>54</v>
      </c>
      <c r="C83" s="201">
        <f>F81</f>
        <v>111.71</v>
      </c>
      <c r="D83" s="202" t="s">
        <v>5</v>
      </c>
      <c r="E83" s="286"/>
      <c r="F83" s="286"/>
      <c r="G83" s="286"/>
      <c r="H83" s="286"/>
      <c r="I83" s="286"/>
      <c r="J83" s="286"/>
      <c r="K83" s="286"/>
      <c r="L83" s="286"/>
      <c r="M83" s="286"/>
      <c r="N83" s="286"/>
    </row>
    <row r="84" spans="1:14" x14ac:dyDescent="0.2">
      <c r="A84" s="189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</row>
    <row r="85" spans="1:14" ht="15" x14ac:dyDescent="0.25">
      <c r="A85" s="267" t="str">
        <f>ORÇAMENTO!A62</f>
        <v>6.2.2</v>
      </c>
      <c r="B85" s="220" t="str">
        <f>ORÇAMENTO!D62</f>
        <v>REGULARIZAÇÃO E COMPACTAÇÃO DE SUBLEITO DE SOLO  PREDOMINANTEMENTE ARGILOSO. AF_11/2019</v>
      </c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</row>
    <row r="86" spans="1:14" x14ac:dyDescent="0.2">
      <c r="A86" s="189"/>
      <c r="B86" s="287"/>
      <c r="C86" s="288"/>
      <c r="D86" s="288"/>
      <c r="E86" s="288"/>
      <c r="F86" s="288"/>
      <c r="G86" s="288"/>
      <c r="H86" s="288"/>
      <c r="I86" s="288"/>
      <c r="J86" s="288"/>
      <c r="K86" s="288"/>
      <c r="L86" s="189"/>
      <c r="M86" s="189"/>
      <c r="N86" s="189"/>
    </row>
    <row r="87" spans="1:14" x14ac:dyDescent="0.2">
      <c r="A87" s="189"/>
      <c r="B87" s="200" t="s">
        <v>54</v>
      </c>
      <c r="C87" s="201">
        <f>C83</f>
        <v>111.71</v>
      </c>
      <c r="D87" s="202" t="s">
        <v>4</v>
      </c>
      <c r="E87" s="288"/>
      <c r="F87" s="288"/>
      <c r="G87" s="288"/>
      <c r="H87" s="288"/>
      <c r="I87" s="288"/>
      <c r="J87" s="288"/>
      <c r="K87" s="288"/>
      <c r="L87" s="189"/>
      <c r="M87" s="189"/>
      <c r="N87" s="189"/>
    </row>
    <row r="88" spans="1:14" x14ac:dyDescent="0.2">
      <c r="A88" s="189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</row>
    <row r="89" spans="1:14" ht="15" x14ac:dyDescent="0.25">
      <c r="A89" s="267" t="str">
        <f>ORÇAMENTO!A63</f>
        <v>6.2.3</v>
      </c>
      <c r="B89" s="220" t="str">
        <f>ORÇAMENTO!D63</f>
        <v>PREPARO DE FUNDO DE VALA COM LARGURA MENOR QUE 1,5 M, COM CAMADA DE AREIA, LANÇAMENTO MANUAL. AF_08/2020</v>
      </c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</row>
    <row r="90" spans="1:14" x14ac:dyDescent="0.2">
      <c r="A90" s="189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</row>
    <row r="91" spans="1:14" x14ac:dyDescent="0.2">
      <c r="A91" s="189"/>
      <c r="B91" s="1215" t="s">
        <v>655</v>
      </c>
      <c r="C91" s="1215"/>
      <c r="D91" s="1215"/>
      <c r="E91" s="1215"/>
      <c r="F91" s="1215"/>
      <c r="G91" s="284"/>
      <c r="H91" s="284"/>
      <c r="I91" s="284"/>
      <c r="J91" s="284"/>
      <c r="K91" s="284"/>
      <c r="L91" s="189"/>
      <c r="M91" s="189"/>
      <c r="N91" s="189"/>
    </row>
    <row r="92" spans="1:14" ht="17.25" customHeight="1" x14ac:dyDescent="0.2">
      <c r="A92" s="189"/>
      <c r="B92" s="183" t="s">
        <v>581</v>
      </c>
      <c r="C92" s="183"/>
      <c r="D92" s="183" t="s">
        <v>269</v>
      </c>
      <c r="E92" s="183"/>
      <c r="F92" s="183" t="s">
        <v>154</v>
      </c>
      <c r="G92" s="284"/>
      <c r="H92" s="284"/>
      <c r="I92" s="284"/>
      <c r="J92" s="284"/>
      <c r="K92" s="284"/>
      <c r="L92" s="189"/>
      <c r="M92" s="189"/>
      <c r="N92" s="189"/>
    </row>
    <row r="93" spans="1:14" ht="15" x14ac:dyDescent="0.2">
      <c r="A93" s="189"/>
      <c r="B93" s="183">
        <f>C87</f>
        <v>111.71</v>
      </c>
      <c r="C93" s="183" t="s">
        <v>22</v>
      </c>
      <c r="D93" s="183">
        <v>0.3</v>
      </c>
      <c r="E93" s="183" t="s">
        <v>23</v>
      </c>
      <c r="F93" s="285">
        <f>ROUND((B93*D93),2)</f>
        <v>33.51</v>
      </c>
      <c r="G93" s="284"/>
      <c r="H93" s="284"/>
      <c r="I93" s="284"/>
      <c r="J93" s="284"/>
      <c r="K93" s="284"/>
      <c r="L93" s="189"/>
      <c r="M93" s="189"/>
      <c r="N93" s="189"/>
    </row>
    <row r="94" spans="1:14" x14ac:dyDescent="0.2">
      <c r="A94" s="189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</row>
    <row r="95" spans="1:14" x14ac:dyDescent="0.2">
      <c r="A95" s="189"/>
      <c r="B95" s="200" t="s">
        <v>54</v>
      </c>
      <c r="C95" s="201">
        <f>F93</f>
        <v>33.51</v>
      </c>
      <c r="D95" s="202" t="s">
        <v>5</v>
      </c>
      <c r="E95" s="288"/>
      <c r="F95" s="288"/>
      <c r="G95" s="288"/>
      <c r="H95" s="288"/>
      <c r="I95" s="288"/>
      <c r="J95" s="288"/>
      <c r="K95" s="288"/>
      <c r="L95" s="189"/>
      <c r="M95" s="189"/>
      <c r="N95" s="189"/>
    </row>
    <row r="96" spans="1:14" ht="15" x14ac:dyDescent="0.25">
      <c r="A96" s="220"/>
      <c r="B96" s="220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</row>
    <row r="97" spans="1:14" ht="15" x14ac:dyDescent="0.2">
      <c r="A97" s="276" t="str">
        <f>ORÇAMENTO!A64</f>
        <v>6.3</v>
      </c>
      <c r="B97" s="1212" t="str">
        <f>ORÇAMENTO!D64</f>
        <v>ALAMBRADO</v>
      </c>
      <c r="C97" s="1212"/>
      <c r="D97" s="1212"/>
      <c r="E97" s="1212"/>
      <c r="F97" s="1212"/>
      <c r="G97" s="1212"/>
      <c r="H97" s="1212"/>
      <c r="I97" s="1212"/>
      <c r="J97" s="1212"/>
      <c r="K97" s="1212"/>
      <c r="L97" s="1212"/>
      <c r="M97" s="1212"/>
      <c r="N97" s="1212"/>
    </row>
    <row r="98" spans="1:14" ht="30.75" customHeight="1" x14ac:dyDescent="0.2">
      <c r="A98" s="276" t="str">
        <f>ORÇAMENTO!A65</f>
        <v>6.3.1</v>
      </c>
      <c r="B98" s="1204" t="str">
        <f>ORÇAMENTO!D65</f>
        <v>ALAMBRADO PARA QUADRA POLIESPORTIVA, ESTRUTURADO POR TUBOS DE ACO GALVANIZADO, (MONTANTES COM DIAMETRO 2", TRAVESSAS E ESCORAS COM DIÂMETRO 1 ¼), COM TELA DE ARAME GALVANIZADO, FIO 14 BWG E MALHA QUADRADA 5X5CM (EXCETO MURETA). AF_03/2021</v>
      </c>
      <c r="C98" s="1204"/>
      <c r="D98" s="1204"/>
      <c r="E98" s="1204"/>
      <c r="F98" s="1204"/>
      <c r="G98" s="1204"/>
      <c r="H98" s="1204"/>
      <c r="I98" s="1204"/>
      <c r="J98" s="1204"/>
      <c r="K98" s="1204"/>
      <c r="L98" s="1204"/>
      <c r="M98" s="1204"/>
      <c r="N98" s="1204"/>
    </row>
    <row r="99" spans="1:14" ht="16.5" customHeight="1" x14ac:dyDescent="0.25">
      <c r="A99" s="220"/>
      <c r="B99" s="220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</row>
    <row r="100" spans="1:14" ht="15" x14ac:dyDescent="0.25">
      <c r="A100" s="220"/>
      <c r="B100" s="277" t="s">
        <v>656</v>
      </c>
      <c r="C100" s="278"/>
      <c r="D100" s="278"/>
      <c r="E100" s="278"/>
      <c r="F100" s="279"/>
      <c r="G100" s="189"/>
      <c r="H100" s="189"/>
      <c r="I100" s="189"/>
      <c r="J100" s="189"/>
      <c r="K100" s="189"/>
      <c r="L100" s="189"/>
      <c r="M100" s="189"/>
      <c r="N100" s="189"/>
    </row>
    <row r="101" spans="1:14" ht="15" x14ac:dyDescent="0.25">
      <c r="A101" s="220"/>
      <c r="B101" s="240" t="s">
        <v>106</v>
      </c>
      <c r="C101" s="240"/>
      <c r="D101" s="240" t="s">
        <v>98</v>
      </c>
      <c r="E101" s="240"/>
      <c r="F101" s="240" t="s">
        <v>154</v>
      </c>
      <c r="G101" s="189"/>
      <c r="H101" s="189"/>
      <c r="I101" s="189"/>
      <c r="J101" s="189"/>
      <c r="K101" s="189"/>
      <c r="L101" s="189"/>
      <c r="M101" s="189"/>
      <c r="N101" s="189"/>
    </row>
    <row r="102" spans="1:14" ht="14.25" customHeight="1" x14ac:dyDescent="0.25">
      <c r="A102" s="220"/>
      <c r="B102" s="184">
        <v>48.8</v>
      </c>
      <c r="C102" s="240" t="s">
        <v>22</v>
      </c>
      <c r="D102" s="224">
        <v>1</v>
      </c>
      <c r="E102" s="240" t="s">
        <v>23</v>
      </c>
      <c r="F102" s="184">
        <f>ROUND((B102*D102),2)</f>
        <v>48.8</v>
      </c>
      <c r="G102" s="189"/>
      <c r="H102" s="189"/>
      <c r="I102" s="189"/>
      <c r="J102" s="189"/>
      <c r="K102" s="189"/>
      <c r="L102" s="189"/>
      <c r="M102" s="189"/>
      <c r="N102" s="189"/>
    </row>
    <row r="103" spans="1:14" ht="14.25" customHeight="1" x14ac:dyDescent="0.25">
      <c r="A103" s="220"/>
      <c r="B103" s="184">
        <v>27.8</v>
      </c>
      <c r="C103" s="240" t="s">
        <v>22</v>
      </c>
      <c r="D103" s="224">
        <v>1</v>
      </c>
      <c r="E103" s="240" t="s">
        <v>23</v>
      </c>
      <c r="F103" s="184">
        <f t="shared" ref="F103" si="0">ROUND((B103*D103),2)</f>
        <v>27.8</v>
      </c>
      <c r="G103" s="189"/>
      <c r="H103" s="189"/>
      <c r="I103" s="189"/>
      <c r="J103" s="189"/>
      <c r="K103" s="189"/>
      <c r="L103" s="189"/>
      <c r="M103" s="189"/>
      <c r="N103" s="189"/>
    </row>
    <row r="104" spans="1:14" ht="15" x14ac:dyDescent="0.25">
      <c r="A104" s="220"/>
      <c r="B104" s="220"/>
      <c r="C104" s="189"/>
      <c r="D104" s="189"/>
      <c r="E104" s="247" t="s">
        <v>657</v>
      </c>
      <c r="F104" s="184">
        <f>SUM(F102:F103)</f>
        <v>76.599999999999994</v>
      </c>
      <c r="G104" s="189"/>
      <c r="H104" s="189"/>
      <c r="I104" s="189"/>
      <c r="J104" s="189"/>
      <c r="K104" s="189"/>
      <c r="L104" s="189"/>
      <c r="M104" s="189"/>
      <c r="N104" s="189"/>
    </row>
    <row r="105" spans="1:14" ht="15" x14ac:dyDescent="0.25">
      <c r="A105" s="220"/>
      <c r="B105" s="277" t="s">
        <v>732</v>
      </c>
      <c r="C105" s="278"/>
      <c r="D105" s="278"/>
      <c r="E105" s="278"/>
      <c r="F105" s="279"/>
      <c r="G105" s="189"/>
      <c r="H105" s="189"/>
      <c r="I105" s="189"/>
      <c r="J105" s="189"/>
      <c r="K105" s="189"/>
      <c r="L105" s="189"/>
      <c r="M105" s="189"/>
      <c r="N105" s="189"/>
    </row>
    <row r="106" spans="1:14" ht="15" x14ac:dyDescent="0.25">
      <c r="A106" s="220"/>
      <c r="B106" s="240" t="s">
        <v>152</v>
      </c>
      <c r="C106" s="240"/>
      <c r="D106" s="240" t="s">
        <v>98</v>
      </c>
      <c r="E106" s="240"/>
      <c r="F106" s="240" t="s">
        <v>273</v>
      </c>
      <c r="G106" s="240"/>
      <c r="H106" s="240" t="s">
        <v>154</v>
      </c>
      <c r="I106" s="189"/>
      <c r="J106" s="189"/>
      <c r="K106" s="189"/>
      <c r="L106" s="189"/>
      <c r="M106" s="189"/>
      <c r="N106" s="189"/>
    </row>
    <row r="107" spans="1:14" ht="15" x14ac:dyDescent="0.25">
      <c r="A107" s="220"/>
      <c r="B107" s="184">
        <v>1.6</v>
      </c>
      <c r="C107" s="240" t="s">
        <v>22</v>
      </c>
      <c r="D107" s="224">
        <v>1</v>
      </c>
      <c r="E107" s="240" t="s">
        <v>22</v>
      </c>
      <c r="F107" s="224">
        <v>2</v>
      </c>
      <c r="G107" s="240" t="s">
        <v>23</v>
      </c>
      <c r="H107" s="184">
        <f>ROUND((B107*D107*F107),2)</f>
        <v>3.2</v>
      </c>
      <c r="I107" s="189"/>
      <c r="J107" s="189"/>
      <c r="K107" s="189"/>
      <c r="L107" s="189"/>
      <c r="M107" s="189"/>
      <c r="N107" s="189"/>
    </row>
    <row r="108" spans="1:14" ht="15" x14ac:dyDescent="0.25">
      <c r="A108" s="220"/>
      <c r="B108" s="258"/>
      <c r="C108" s="290"/>
      <c r="D108" s="241"/>
      <c r="E108" s="221"/>
      <c r="F108" s="249"/>
      <c r="G108" s="189"/>
      <c r="H108" s="189"/>
      <c r="I108" s="189"/>
      <c r="J108" s="189"/>
      <c r="K108" s="189"/>
      <c r="L108" s="189"/>
      <c r="M108" s="189"/>
      <c r="N108" s="189"/>
    </row>
    <row r="109" spans="1:14" ht="15" x14ac:dyDescent="0.25">
      <c r="A109" s="261"/>
      <c r="B109" s="200" t="s">
        <v>54</v>
      </c>
      <c r="C109" s="201">
        <f>F104-H107</f>
        <v>73.399999999999991</v>
      </c>
      <c r="D109" s="202" t="s">
        <v>4</v>
      </c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</row>
    <row r="110" spans="1:14" ht="15" x14ac:dyDescent="0.25">
      <c r="A110" s="220"/>
      <c r="B110" s="291"/>
      <c r="C110" s="292"/>
      <c r="D110" s="291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</row>
    <row r="111" spans="1:14" ht="25.5" customHeight="1" x14ac:dyDescent="0.2">
      <c r="A111" s="276" t="str">
        <f>ORÇAMENTO!A66</f>
        <v>6.3.2</v>
      </c>
      <c r="B111" s="1216" t="str">
        <f>ORÇAMENTO!D66</f>
        <v>Portão tubo/tela arame galv.c/ferragens (incl.pint.anti-corrosiva)</v>
      </c>
      <c r="C111" s="1204"/>
      <c r="D111" s="1204"/>
      <c r="E111" s="1204"/>
      <c r="F111" s="1204"/>
      <c r="G111" s="1204"/>
      <c r="H111" s="1204"/>
      <c r="I111" s="1204"/>
      <c r="J111" s="1204"/>
      <c r="K111" s="1204"/>
      <c r="L111" s="1204"/>
      <c r="M111" s="1204"/>
      <c r="N111" s="1204"/>
    </row>
    <row r="112" spans="1:14" ht="15" x14ac:dyDescent="0.25">
      <c r="A112" s="220"/>
      <c r="B112" s="291"/>
      <c r="C112" s="292"/>
      <c r="D112" s="291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</row>
    <row r="113" spans="1:15" ht="15" x14ac:dyDescent="0.25">
      <c r="A113" s="220"/>
      <c r="B113" s="293" t="s">
        <v>658</v>
      </c>
      <c r="C113" s="294"/>
      <c r="D113" s="295"/>
      <c r="E113" s="278"/>
      <c r="F113" s="279"/>
      <c r="G113" s="189"/>
      <c r="H113" s="189"/>
      <c r="I113" s="189"/>
      <c r="J113" s="189"/>
      <c r="K113" s="189"/>
      <c r="L113" s="189"/>
      <c r="M113" s="189"/>
      <c r="N113" s="189"/>
    </row>
    <row r="114" spans="1:15" ht="14.25" customHeight="1" x14ac:dyDescent="0.25">
      <c r="A114" s="220"/>
      <c r="B114" s="271" t="s">
        <v>106</v>
      </c>
      <c r="C114" s="183"/>
      <c r="D114" s="271" t="s">
        <v>98</v>
      </c>
      <c r="E114" s="240"/>
      <c r="F114" s="240" t="s">
        <v>273</v>
      </c>
      <c r="G114" s="240"/>
      <c r="H114" s="240" t="s">
        <v>154</v>
      </c>
      <c r="I114" s="189"/>
      <c r="J114" s="189"/>
      <c r="K114" s="189"/>
      <c r="L114" s="189"/>
      <c r="M114" s="189"/>
      <c r="N114" s="189"/>
    </row>
    <row r="115" spans="1:15" ht="14.25" customHeight="1" x14ac:dyDescent="0.25">
      <c r="A115" s="220"/>
      <c r="B115" s="183">
        <v>1.6</v>
      </c>
      <c r="C115" s="183" t="s">
        <v>22</v>
      </c>
      <c r="D115" s="183">
        <v>1</v>
      </c>
      <c r="E115" s="240" t="s">
        <v>22</v>
      </c>
      <c r="F115" s="224">
        <v>2</v>
      </c>
      <c r="G115" s="240" t="s">
        <v>23</v>
      </c>
      <c r="H115" s="184">
        <f>ROUND((B115*D115*F115),2)</f>
        <v>3.2</v>
      </c>
      <c r="I115" s="189"/>
      <c r="J115" s="189"/>
      <c r="K115" s="189"/>
      <c r="L115" s="189"/>
      <c r="M115" s="189"/>
      <c r="N115" s="189"/>
    </row>
    <row r="116" spans="1:15" ht="15" customHeight="1" x14ac:dyDescent="0.25">
      <c r="A116" s="220"/>
      <c r="B116" s="291"/>
      <c r="C116" s="292"/>
      <c r="D116" s="291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289"/>
    </row>
    <row r="117" spans="1:15" ht="15" x14ac:dyDescent="0.25">
      <c r="A117" s="220"/>
      <c r="B117" s="200" t="s">
        <v>54</v>
      </c>
      <c r="C117" s="201">
        <f>H115</f>
        <v>3.2</v>
      </c>
      <c r="D117" s="202" t="s">
        <v>4</v>
      </c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289"/>
    </row>
    <row r="118" spans="1:15" ht="15" x14ac:dyDescent="0.25">
      <c r="A118" s="220"/>
      <c r="B118" s="291"/>
      <c r="C118" s="292"/>
      <c r="D118" s="291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</row>
    <row r="119" spans="1:15" ht="33" customHeight="1" x14ac:dyDescent="0.2">
      <c r="A119" s="276" t="str">
        <f>ORÇAMENTO!A67</f>
        <v>6.3.3</v>
      </c>
      <c r="B119" s="1213" t="str">
        <f>ORÇAMENTO!D67</f>
        <v>PINTURA COM TINTA ALQUÍDICA DE ACABAMENTO (ESMALTE SINTÉTICO BRILHANTE) PULVERIZADA SOBRE SUPERFÍCIES METÁLICAS (EXCETO PERFIL) EXECUTADO EM OBRA (02 DEMÃOS). AF_01/2020_P</v>
      </c>
      <c r="C119" s="1213"/>
      <c r="D119" s="1213"/>
      <c r="E119" s="1213"/>
      <c r="F119" s="1213"/>
      <c r="G119" s="1213"/>
      <c r="H119" s="1213"/>
      <c r="I119" s="1213"/>
      <c r="J119" s="1213"/>
      <c r="K119" s="1213"/>
      <c r="L119" s="1213"/>
      <c r="M119" s="1213"/>
      <c r="N119" s="1213"/>
    </row>
    <row r="120" spans="1:15" ht="15" x14ac:dyDescent="0.25">
      <c r="A120" s="220"/>
      <c r="B120" s="291"/>
      <c r="C120" s="292"/>
      <c r="D120" s="291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</row>
    <row r="121" spans="1:15" ht="15" x14ac:dyDescent="0.25">
      <c r="A121" s="220"/>
      <c r="B121" s="1214" t="s">
        <v>659</v>
      </c>
      <c r="C121" s="1214"/>
      <c r="D121" s="1214"/>
      <c r="E121" s="1214"/>
      <c r="F121" s="1214"/>
      <c r="G121" s="1214"/>
      <c r="H121" s="1214"/>
      <c r="I121" s="189"/>
      <c r="J121" s="189"/>
      <c r="K121" s="189"/>
      <c r="L121" s="189"/>
      <c r="M121" s="189"/>
      <c r="N121" s="189"/>
    </row>
    <row r="122" spans="1:15" ht="15" x14ac:dyDescent="0.25">
      <c r="A122" s="220"/>
      <c r="B122" s="183" t="s">
        <v>660</v>
      </c>
      <c r="C122" s="183"/>
      <c r="D122" s="183" t="s">
        <v>661</v>
      </c>
      <c r="E122" s="219"/>
      <c r="F122" s="219" t="s">
        <v>127</v>
      </c>
      <c r="G122" s="219"/>
      <c r="H122" s="281" t="s">
        <v>154</v>
      </c>
      <c r="I122" s="189"/>
      <c r="J122" s="189"/>
      <c r="K122" s="189"/>
      <c r="L122" s="189"/>
      <c r="M122" s="189"/>
      <c r="N122" s="189"/>
    </row>
    <row r="123" spans="1:15" ht="15" x14ac:dyDescent="0.25">
      <c r="A123" s="220"/>
      <c r="B123" s="183">
        <f>C109</f>
        <v>73.399999999999991</v>
      </c>
      <c r="C123" s="183" t="s">
        <v>145</v>
      </c>
      <c r="D123" s="183">
        <f>C117</f>
        <v>3.2</v>
      </c>
      <c r="E123" s="219" t="s">
        <v>22</v>
      </c>
      <c r="F123" s="219">
        <v>2</v>
      </c>
      <c r="G123" s="219" t="s">
        <v>23</v>
      </c>
      <c r="H123" s="219">
        <f>ROUND(((B123+D123)*(F123)),2)</f>
        <v>153.19999999999999</v>
      </c>
      <c r="I123" s="189"/>
      <c r="J123" s="189"/>
      <c r="K123" s="189"/>
      <c r="L123" s="189"/>
      <c r="M123" s="189"/>
      <c r="N123" s="189"/>
    </row>
    <row r="124" spans="1:15" ht="15" x14ac:dyDescent="0.25">
      <c r="A124" s="220"/>
      <c r="B124" s="291"/>
      <c r="C124" s="292"/>
      <c r="D124" s="291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</row>
    <row r="125" spans="1:15" ht="15" x14ac:dyDescent="0.25">
      <c r="A125" s="220"/>
      <c r="B125" s="200" t="s">
        <v>54</v>
      </c>
      <c r="C125" s="201">
        <f>H123</f>
        <v>153.19999999999999</v>
      </c>
      <c r="D125" s="202" t="s">
        <v>4</v>
      </c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</row>
    <row r="126" spans="1:15" ht="15" x14ac:dyDescent="0.25">
      <c r="A126" s="220"/>
      <c r="B126" s="291"/>
      <c r="C126" s="292"/>
      <c r="D126" s="291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</row>
    <row r="127" spans="1:15" ht="15" customHeight="1" x14ac:dyDescent="0.2">
      <c r="A127" s="276" t="str">
        <f>ORÇAMENTO!A68</f>
        <v>6.4</v>
      </c>
      <c r="B127" s="320" t="str">
        <f>ORÇAMENTO!D68</f>
        <v>BRINQUEDOS</v>
      </c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</row>
    <row r="128" spans="1:15" ht="15" customHeight="1" x14ac:dyDescent="0.2">
      <c r="A128" s="276"/>
      <c r="B128" s="314"/>
      <c r="C128" s="314"/>
      <c r="D128" s="314"/>
      <c r="E128" s="314"/>
      <c r="F128" s="314"/>
      <c r="G128" s="314"/>
      <c r="H128" s="314"/>
      <c r="I128" s="314"/>
      <c r="J128" s="314"/>
      <c r="K128" s="314"/>
      <c r="L128" s="314"/>
      <c r="M128" s="314"/>
      <c r="N128" s="314"/>
    </row>
    <row r="129" spans="1:14" ht="15" x14ac:dyDescent="0.2">
      <c r="A129" s="296" t="str">
        <f>ORÇAMENTO!A69</f>
        <v>6.4.1</v>
      </c>
      <c r="B129" s="321" t="str">
        <f>ORÇAMENTO!D69</f>
        <v>CARROSSEL - FORNECIMENTO E INSTALAÇÃO</v>
      </c>
      <c r="C129" s="297"/>
      <c r="D129" s="297"/>
      <c r="E129" s="297"/>
      <c r="F129" s="297"/>
      <c r="G129" s="297"/>
      <c r="H129" s="297"/>
      <c r="I129" s="297"/>
      <c r="J129" s="297"/>
      <c r="K129" s="297"/>
      <c r="L129" s="297"/>
      <c r="M129" s="297"/>
      <c r="N129" s="297"/>
    </row>
    <row r="130" spans="1:14" x14ac:dyDescent="0.2">
      <c r="A130" s="189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</row>
    <row r="131" spans="1:14" x14ac:dyDescent="0.2">
      <c r="A131" s="189"/>
      <c r="B131" s="200" t="s">
        <v>54</v>
      </c>
      <c r="C131" s="201">
        <v>1</v>
      </c>
      <c r="D131" s="202" t="s">
        <v>11</v>
      </c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</row>
    <row r="132" spans="1:14" x14ac:dyDescent="0.2">
      <c r="A132" s="189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</row>
    <row r="133" spans="1:14" ht="15" x14ac:dyDescent="0.25">
      <c r="A133" s="267" t="str">
        <f>ORÇAMENTO!A70</f>
        <v>6.4.2</v>
      </c>
      <c r="B133" s="220" t="str">
        <f>ORÇAMENTO!D70</f>
        <v>GANGORRA DUPLA - FORNECIMENTO E INSTALAÇÃO</v>
      </c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</row>
    <row r="134" spans="1:14" x14ac:dyDescent="0.2">
      <c r="A134" s="189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</row>
    <row r="135" spans="1:14" x14ac:dyDescent="0.2">
      <c r="B135" s="200" t="s">
        <v>54</v>
      </c>
      <c r="C135" s="201">
        <v>1</v>
      </c>
      <c r="D135" s="202" t="s">
        <v>11</v>
      </c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</row>
    <row r="136" spans="1:14" x14ac:dyDescent="0.2">
      <c r="A136" s="189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</row>
    <row r="137" spans="1:14" ht="15" x14ac:dyDescent="0.25">
      <c r="A137" s="267" t="str">
        <f>ORÇAMENTO!A71</f>
        <v>6.4.3</v>
      </c>
      <c r="B137" s="220" t="str">
        <f>ORÇAMENTO!D71</f>
        <v>ESCADA HORIZONTAL FERRO - FORNECIMENTO E INSTALAÇÃO</v>
      </c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</row>
    <row r="138" spans="1:14" x14ac:dyDescent="0.2">
      <c r="A138" s="189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4" x14ac:dyDescent="0.2">
      <c r="A139" s="189"/>
      <c r="B139" s="200" t="s">
        <v>54</v>
      </c>
      <c r="C139" s="201">
        <v>1</v>
      </c>
      <c r="D139" s="202" t="s">
        <v>11</v>
      </c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 x14ac:dyDescent="0.2">
      <c r="A140" s="189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</row>
    <row r="141" spans="1:14" ht="15" x14ac:dyDescent="0.25">
      <c r="A141" s="267" t="str">
        <f>ORÇAMENTO!A72</f>
        <v>6.4.4</v>
      </c>
      <c r="B141" s="220" t="str">
        <f>ORÇAMENTO!D72</f>
        <v>BALANÇO C/ 3 CADEIRA - BEIJA-FLOR - FORNECIMENTO E INSTALAÇÃO</v>
      </c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 x14ac:dyDescent="0.2">
      <c r="A142" s="189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</row>
    <row r="143" spans="1:14" x14ac:dyDescent="0.2">
      <c r="A143" s="189"/>
      <c r="B143" s="200" t="s">
        <v>54</v>
      </c>
      <c r="C143" s="201">
        <v>1</v>
      </c>
      <c r="D143" s="202" t="s">
        <v>11</v>
      </c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</row>
    <row r="144" spans="1:14" x14ac:dyDescent="0.2">
      <c r="A144" s="189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</row>
    <row r="145" spans="1:14" ht="15" x14ac:dyDescent="0.25">
      <c r="A145" s="267" t="str">
        <f>ORÇAMENTO!A73</f>
        <v>6.4.5</v>
      </c>
      <c r="B145" s="220" t="str">
        <f>ORÇAMENTO!D73</f>
        <v>PLAYGROUND - FORNECIMENTO E INSTALAÇÃO</v>
      </c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</row>
    <row r="146" spans="1:14" x14ac:dyDescent="0.2">
      <c r="A146" s="189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</row>
    <row r="147" spans="1:14" x14ac:dyDescent="0.2">
      <c r="A147" s="189"/>
      <c r="B147" s="200" t="s">
        <v>54</v>
      </c>
      <c r="C147" s="201">
        <v>1</v>
      </c>
      <c r="D147" s="202" t="s">
        <v>11</v>
      </c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</row>
    <row r="148" spans="1:14" x14ac:dyDescent="0.2">
      <c r="A148" s="189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</row>
    <row r="149" spans="1:14" ht="21" customHeight="1" x14ac:dyDescent="0.2">
      <c r="A149" s="276" t="str">
        <f>ORÇAMENTO!A74</f>
        <v>6.5</v>
      </c>
      <c r="B149" s="227" t="str">
        <f>ORÇAMENTO!D74</f>
        <v>FUNDAÇÃO DOS BRINQUEDOS</v>
      </c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  <c r="M149" s="227"/>
      <c r="N149" s="227"/>
    </row>
    <row r="150" spans="1:14" x14ac:dyDescent="0.2">
      <c r="A150" s="189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</row>
    <row r="151" spans="1:14" ht="15" x14ac:dyDescent="0.2">
      <c r="A151" s="260" t="str">
        <f>ORÇAMENTO!A75</f>
        <v>6.5.1</v>
      </c>
      <c r="B151" s="1212" t="str">
        <f>ORÇAMENTO!D75</f>
        <v>Escavação manual ate 1.50m de profundidade</v>
      </c>
      <c r="C151" s="1212"/>
      <c r="D151" s="1212"/>
      <c r="E151" s="1212"/>
      <c r="F151" s="1212"/>
      <c r="G151" s="1212"/>
      <c r="H151" s="1212"/>
      <c r="I151" s="1212"/>
      <c r="J151" s="1212"/>
      <c r="K151" s="1212"/>
      <c r="L151" s="1212"/>
      <c r="M151" s="1212"/>
      <c r="N151" s="1212"/>
    </row>
    <row r="152" spans="1:14" x14ac:dyDescent="0.2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</row>
    <row r="153" spans="1:14" ht="15" x14ac:dyDescent="0.25">
      <c r="A153" s="189"/>
      <c r="B153" s="220" t="s">
        <v>1112</v>
      </c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</row>
    <row r="154" spans="1:14" ht="15" x14ac:dyDescent="0.25">
      <c r="A154" s="189"/>
      <c r="B154" s="220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</row>
    <row r="155" spans="1:14" ht="15" x14ac:dyDescent="0.25">
      <c r="A155" s="189"/>
      <c r="B155" s="220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 ht="15" x14ac:dyDescent="0.25">
      <c r="A156" s="189"/>
      <c r="B156" s="220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</row>
    <row r="157" spans="1:14" ht="15" x14ac:dyDescent="0.25">
      <c r="A157" s="189"/>
      <c r="B157" s="220"/>
      <c r="C157" s="189"/>
      <c r="D157" s="189"/>
      <c r="E157" s="189"/>
      <c r="F157" s="189"/>
      <c r="G157" s="189"/>
      <c r="H157" s="1217" t="s">
        <v>1114</v>
      </c>
      <c r="I157" s="1217"/>
      <c r="J157" s="1217"/>
      <c r="K157" s="1217"/>
      <c r="L157" s="1217"/>
      <c r="M157" s="1217"/>
      <c r="N157" s="1217"/>
    </row>
    <row r="158" spans="1:14" ht="15" x14ac:dyDescent="0.25">
      <c r="A158" s="189"/>
      <c r="B158" s="220"/>
      <c r="C158" s="189"/>
      <c r="D158" s="189"/>
      <c r="E158" s="189"/>
      <c r="F158" s="189"/>
      <c r="G158" s="189"/>
      <c r="H158" s="1217"/>
      <c r="I158" s="1217"/>
      <c r="J158" s="1217"/>
      <c r="K158" s="1217"/>
      <c r="L158" s="1217"/>
      <c r="M158" s="1217"/>
      <c r="N158" s="1217"/>
    </row>
    <row r="159" spans="1:14" ht="15" x14ac:dyDescent="0.25">
      <c r="A159" s="189"/>
      <c r="B159" s="220"/>
      <c r="C159" s="189"/>
      <c r="D159" s="189"/>
      <c r="E159" s="189"/>
      <c r="F159" s="189"/>
      <c r="G159" s="189"/>
      <c r="H159" s="1217"/>
      <c r="I159" s="1217"/>
      <c r="J159" s="1217"/>
      <c r="K159" s="1217"/>
      <c r="L159" s="1217"/>
      <c r="M159" s="1217"/>
      <c r="N159" s="1217"/>
    </row>
    <row r="160" spans="1:14" ht="15" x14ac:dyDescent="0.25">
      <c r="A160" s="189"/>
      <c r="B160" s="220"/>
      <c r="C160" s="189"/>
      <c r="D160" s="189"/>
      <c r="E160" s="189"/>
      <c r="F160" s="189"/>
      <c r="G160" s="189"/>
      <c r="H160" s="1217"/>
      <c r="I160" s="1217"/>
      <c r="J160" s="1217"/>
      <c r="K160" s="1217"/>
      <c r="L160" s="1217"/>
      <c r="M160" s="1217"/>
      <c r="N160" s="1217"/>
    </row>
    <row r="161" spans="1:14" ht="15" x14ac:dyDescent="0.25">
      <c r="A161" s="189"/>
      <c r="B161" s="220"/>
      <c r="C161" s="189"/>
      <c r="D161" s="189"/>
      <c r="E161" s="189"/>
      <c r="F161" s="189"/>
      <c r="G161" s="189"/>
      <c r="H161" s="1217"/>
      <c r="I161" s="1217"/>
      <c r="J161" s="1217"/>
      <c r="K161" s="1217"/>
      <c r="L161" s="1217"/>
      <c r="M161" s="1217"/>
      <c r="N161" s="1217"/>
    </row>
    <row r="162" spans="1:14" ht="15" x14ac:dyDescent="0.25">
      <c r="A162" s="189"/>
      <c r="B162" s="220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</row>
    <row r="163" spans="1:14" ht="15" x14ac:dyDescent="0.25">
      <c r="A163" s="189"/>
      <c r="B163" s="220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</row>
    <row r="164" spans="1:14" ht="15" x14ac:dyDescent="0.25">
      <c r="A164" s="189"/>
      <c r="B164" s="220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</row>
    <row r="165" spans="1:14" ht="15" x14ac:dyDescent="0.25">
      <c r="A165" s="189"/>
      <c r="B165" s="220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</row>
    <row r="166" spans="1:14" x14ac:dyDescent="0.2">
      <c r="A166" s="189"/>
      <c r="B166" s="189" t="s">
        <v>1113</v>
      </c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</row>
    <row r="167" spans="1:14" ht="15" x14ac:dyDescent="0.25">
      <c r="A167" s="189"/>
      <c r="B167" s="220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</row>
    <row r="168" spans="1:14" ht="15" x14ac:dyDescent="0.25">
      <c r="A168" s="189"/>
      <c r="B168" s="220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</row>
    <row r="169" spans="1:14" ht="16.5" customHeight="1" x14ac:dyDescent="0.2">
      <c r="A169" s="189"/>
      <c r="B169" s="298" t="s">
        <v>662</v>
      </c>
      <c r="C169" s="299"/>
      <c r="D169" s="299"/>
      <c r="E169" s="299"/>
      <c r="F169" s="299"/>
      <c r="G169" s="299"/>
      <c r="H169" s="299"/>
      <c r="I169" s="299"/>
      <c r="J169" s="300"/>
      <c r="K169" s="189"/>
      <c r="L169" s="189"/>
      <c r="M169" s="189"/>
      <c r="N169" s="189"/>
    </row>
    <row r="170" spans="1:14" x14ac:dyDescent="0.2">
      <c r="A170" s="189"/>
      <c r="B170" s="271" t="s">
        <v>152</v>
      </c>
      <c r="C170" s="271"/>
      <c r="D170" s="271" t="s">
        <v>106</v>
      </c>
      <c r="E170" s="271"/>
      <c r="F170" s="271" t="s">
        <v>98</v>
      </c>
      <c r="G170" s="271"/>
      <c r="H170" s="271" t="s">
        <v>663</v>
      </c>
      <c r="I170" s="271"/>
      <c r="J170" s="271" t="s">
        <v>154</v>
      </c>
      <c r="K170" s="189"/>
      <c r="L170" s="189"/>
      <c r="M170" s="189"/>
      <c r="N170" s="189"/>
    </row>
    <row r="171" spans="1:14" ht="16.5" customHeight="1" x14ac:dyDescent="0.2">
      <c r="A171" s="189"/>
      <c r="B171" s="301"/>
      <c r="C171" s="302"/>
      <c r="D171" s="302"/>
      <c r="E171" s="302"/>
      <c r="F171" s="302"/>
      <c r="G171" s="302"/>
      <c r="H171" s="302"/>
      <c r="I171" s="302"/>
      <c r="J171" s="303"/>
      <c r="K171" s="189"/>
      <c r="L171" s="189"/>
      <c r="M171" s="189"/>
      <c r="N171" s="189"/>
    </row>
    <row r="172" spans="1:14" ht="14.25" customHeight="1" x14ac:dyDescent="0.2">
      <c r="A172" s="189"/>
      <c r="B172" s="183">
        <v>0.4</v>
      </c>
      <c r="C172" s="271" t="s">
        <v>22</v>
      </c>
      <c r="D172" s="183">
        <v>0.4</v>
      </c>
      <c r="E172" s="271" t="s">
        <v>22</v>
      </c>
      <c r="F172" s="184">
        <v>0.6</v>
      </c>
      <c r="G172" s="271" t="s">
        <v>22</v>
      </c>
      <c r="H172" s="183">
        <v>1</v>
      </c>
      <c r="I172" s="271" t="s">
        <v>23</v>
      </c>
      <c r="J172" s="183">
        <f>ROUND((B172*D172*F172*H172),2)</f>
        <v>0.1</v>
      </c>
      <c r="K172" s="189" t="s">
        <v>664</v>
      </c>
      <c r="L172" s="189"/>
      <c r="M172" s="189"/>
      <c r="N172" s="189"/>
    </row>
    <row r="173" spans="1:14" ht="14.25" customHeight="1" x14ac:dyDescent="0.2">
      <c r="A173" s="189"/>
      <c r="B173" s="301"/>
      <c r="C173" s="302"/>
      <c r="D173" s="302"/>
      <c r="E173" s="302"/>
      <c r="F173" s="302"/>
      <c r="G173" s="302"/>
      <c r="H173" s="302"/>
      <c r="I173" s="302"/>
      <c r="J173" s="303"/>
      <c r="K173" s="189"/>
      <c r="L173" s="189"/>
      <c r="M173" s="189"/>
      <c r="N173" s="189"/>
    </row>
    <row r="174" spans="1:14" ht="16.5" customHeight="1" x14ac:dyDescent="0.2">
      <c r="A174" s="189"/>
      <c r="B174" s="183">
        <v>0.4</v>
      </c>
      <c r="C174" s="271" t="s">
        <v>22</v>
      </c>
      <c r="D174" s="183">
        <v>0.4</v>
      </c>
      <c r="E174" s="271" t="s">
        <v>22</v>
      </c>
      <c r="F174" s="184">
        <v>0.7</v>
      </c>
      <c r="G174" s="271" t="s">
        <v>22</v>
      </c>
      <c r="H174" s="183">
        <v>2</v>
      </c>
      <c r="I174" s="271" t="s">
        <v>23</v>
      </c>
      <c r="J174" s="183">
        <f>ROUND((B174*D174*F174*H174),2)</f>
        <v>0.22</v>
      </c>
      <c r="K174" s="189" t="s">
        <v>665</v>
      </c>
      <c r="L174" s="189"/>
      <c r="M174" s="189"/>
      <c r="N174" s="189"/>
    </row>
    <row r="175" spans="1:14" x14ac:dyDescent="0.2">
      <c r="A175" s="189"/>
      <c r="B175" s="301"/>
      <c r="C175" s="302"/>
      <c r="D175" s="302"/>
      <c r="E175" s="302"/>
      <c r="F175" s="302"/>
      <c r="G175" s="302"/>
      <c r="H175" s="302"/>
      <c r="I175" s="302"/>
      <c r="J175" s="303"/>
      <c r="K175" s="189"/>
      <c r="L175" s="189"/>
      <c r="M175" s="189"/>
      <c r="N175" s="189"/>
    </row>
    <row r="176" spans="1:14" x14ac:dyDescent="0.2">
      <c r="A176" s="189"/>
      <c r="B176" s="183">
        <v>0.4</v>
      </c>
      <c r="C176" s="271" t="s">
        <v>22</v>
      </c>
      <c r="D176" s="183">
        <v>0.4</v>
      </c>
      <c r="E176" s="271" t="s">
        <v>22</v>
      </c>
      <c r="F176" s="184">
        <v>0.6</v>
      </c>
      <c r="G176" s="271" t="s">
        <v>22</v>
      </c>
      <c r="H176" s="183">
        <v>6</v>
      </c>
      <c r="I176" s="271" t="s">
        <v>23</v>
      </c>
      <c r="J176" s="183">
        <f>ROUND((B176*D176*F176*H176),2)</f>
        <v>0.57999999999999996</v>
      </c>
      <c r="K176" s="189" t="s">
        <v>666</v>
      </c>
      <c r="L176" s="189"/>
      <c r="M176" s="189"/>
      <c r="N176" s="189"/>
    </row>
    <row r="177" spans="1:14" x14ac:dyDescent="0.2">
      <c r="A177" s="189"/>
      <c r="B177" s="301"/>
      <c r="C177" s="302"/>
      <c r="D177" s="302"/>
      <c r="E177" s="302"/>
      <c r="F177" s="302"/>
      <c r="G177" s="302"/>
      <c r="H177" s="302"/>
      <c r="I177" s="302"/>
      <c r="J177" s="303"/>
      <c r="K177" s="189"/>
      <c r="L177" s="189"/>
      <c r="M177" s="189"/>
      <c r="N177" s="189"/>
    </row>
    <row r="178" spans="1:14" x14ac:dyDescent="0.2">
      <c r="A178" s="189"/>
      <c r="B178" s="183">
        <v>0.25</v>
      </c>
      <c r="C178" s="271" t="s">
        <v>22</v>
      </c>
      <c r="D178" s="183">
        <v>0.25</v>
      </c>
      <c r="E178" s="271" t="s">
        <v>22</v>
      </c>
      <c r="F178" s="184">
        <v>0.7</v>
      </c>
      <c r="G178" s="271" t="s">
        <v>22</v>
      </c>
      <c r="H178" s="183">
        <v>4</v>
      </c>
      <c r="I178" s="271" t="s">
        <v>23</v>
      </c>
      <c r="J178" s="183">
        <f>ROUND((B178*D178*F178*H178),2)</f>
        <v>0.18</v>
      </c>
      <c r="K178" s="189" t="s">
        <v>667</v>
      </c>
      <c r="L178" s="189"/>
      <c r="M178" s="189"/>
      <c r="N178" s="189"/>
    </row>
    <row r="179" spans="1:14" x14ac:dyDescent="0.2">
      <c r="A179" s="189"/>
      <c r="B179" s="301"/>
      <c r="C179" s="302"/>
      <c r="D179" s="302"/>
      <c r="E179" s="302"/>
      <c r="F179" s="302"/>
      <c r="G179" s="302"/>
      <c r="H179" s="302"/>
      <c r="I179" s="302"/>
      <c r="J179" s="303"/>
      <c r="K179" s="189"/>
      <c r="L179" s="189"/>
      <c r="M179" s="189"/>
      <c r="N179" s="189"/>
    </row>
    <row r="180" spans="1:14" x14ac:dyDescent="0.2">
      <c r="A180" s="189"/>
      <c r="B180" s="183">
        <v>0.45</v>
      </c>
      <c r="C180" s="271" t="s">
        <v>22</v>
      </c>
      <c r="D180" s="183">
        <v>0.45</v>
      </c>
      <c r="E180" s="271" t="s">
        <v>22</v>
      </c>
      <c r="F180" s="184">
        <v>0.43</v>
      </c>
      <c r="G180" s="271" t="s">
        <v>22</v>
      </c>
      <c r="H180" s="183">
        <v>16</v>
      </c>
      <c r="I180" s="271" t="s">
        <v>23</v>
      </c>
      <c r="J180" s="183">
        <f>ROUND((B180*D180*F180*H180),2)</f>
        <v>1.39</v>
      </c>
      <c r="K180" s="189" t="s">
        <v>668</v>
      </c>
      <c r="L180" s="189"/>
      <c r="M180" s="189"/>
      <c r="N180" s="189"/>
    </row>
    <row r="181" spans="1:14" x14ac:dyDescent="0.2">
      <c r="A181" s="189"/>
      <c r="B181" s="183">
        <v>0.45</v>
      </c>
      <c r="C181" s="271" t="s">
        <v>22</v>
      </c>
      <c r="D181" s="183">
        <v>0.45</v>
      </c>
      <c r="E181" s="271" t="s">
        <v>22</v>
      </c>
      <c r="F181" s="184">
        <v>0.43</v>
      </c>
      <c r="G181" s="271" t="s">
        <v>22</v>
      </c>
      <c r="H181" s="183">
        <v>4</v>
      </c>
      <c r="I181" s="271" t="s">
        <v>23</v>
      </c>
      <c r="J181" s="183">
        <f>ROUND((B181*D181*F181*H181),2)</f>
        <v>0.35</v>
      </c>
      <c r="K181" s="189" t="s">
        <v>669</v>
      </c>
      <c r="L181" s="189"/>
      <c r="M181" s="189"/>
      <c r="N181" s="189"/>
    </row>
    <row r="182" spans="1:14" x14ac:dyDescent="0.2">
      <c r="A182" s="189"/>
      <c r="B182" s="183">
        <v>0.45</v>
      </c>
      <c r="C182" s="271" t="s">
        <v>22</v>
      </c>
      <c r="D182" s="183">
        <v>0.45</v>
      </c>
      <c r="E182" s="271" t="s">
        <v>22</v>
      </c>
      <c r="F182" s="184">
        <v>0.43</v>
      </c>
      <c r="G182" s="271" t="s">
        <v>22</v>
      </c>
      <c r="H182" s="183">
        <v>2</v>
      </c>
      <c r="I182" s="271" t="s">
        <v>23</v>
      </c>
      <c r="J182" s="183">
        <f>ROUND((B182*D182*F182*H182),2)</f>
        <v>0.17</v>
      </c>
      <c r="K182" s="189" t="s">
        <v>670</v>
      </c>
      <c r="L182" s="189"/>
      <c r="M182" s="189"/>
      <c r="N182" s="189"/>
    </row>
    <row r="183" spans="1:14" x14ac:dyDescent="0.2">
      <c r="A183" s="189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</row>
    <row r="184" spans="1:14" x14ac:dyDescent="0.2">
      <c r="A184" s="189"/>
      <c r="B184" s="271" t="s">
        <v>671</v>
      </c>
      <c r="C184" s="271"/>
      <c r="D184" s="271" t="s">
        <v>672</v>
      </c>
      <c r="E184" s="271"/>
      <c r="F184" s="271" t="s">
        <v>154</v>
      </c>
      <c r="G184" s="189"/>
      <c r="H184" s="189"/>
      <c r="I184" s="189"/>
      <c r="J184" s="189"/>
      <c r="K184" s="189"/>
      <c r="L184" s="189"/>
      <c r="M184" s="189"/>
      <c r="N184" s="189"/>
    </row>
    <row r="185" spans="1:14" ht="16.5" customHeight="1" x14ac:dyDescent="0.2">
      <c r="A185" s="189"/>
      <c r="B185" s="183">
        <f>J172</f>
        <v>0.1</v>
      </c>
      <c r="C185" s="271" t="s">
        <v>22</v>
      </c>
      <c r="D185" s="183">
        <f>C131</f>
        <v>1</v>
      </c>
      <c r="E185" s="271" t="s">
        <v>23</v>
      </c>
      <c r="F185" s="183">
        <f>ROUND((B185*D185),2)</f>
        <v>0.1</v>
      </c>
      <c r="G185" s="189" t="str">
        <f>K172</f>
        <v>Carrossel</v>
      </c>
      <c r="H185" s="189"/>
      <c r="I185" s="189"/>
      <c r="J185" s="189"/>
      <c r="K185" s="189"/>
      <c r="L185" s="189"/>
      <c r="M185" s="189"/>
      <c r="N185" s="189"/>
    </row>
    <row r="186" spans="1:14" ht="15.75" customHeight="1" x14ac:dyDescent="0.2">
      <c r="A186" s="189"/>
      <c r="B186" s="183">
        <f>J174</f>
        <v>0.22</v>
      </c>
      <c r="C186" s="271" t="s">
        <v>22</v>
      </c>
      <c r="D186" s="183">
        <f>C135</f>
        <v>1</v>
      </c>
      <c r="E186" s="271" t="s">
        <v>23</v>
      </c>
      <c r="F186" s="183">
        <f>ROUND((B186*D186),2)</f>
        <v>0.22</v>
      </c>
      <c r="G186" s="189" t="str">
        <f>K174</f>
        <v>Gangorra dupla</v>
      </c>
      <c r="H186" s="189"/>
      <c r="I186" s="189"/>
      <c r="J186" s="189"/>
      <c r="K186" s="189"/>
      <c r="L186" s="189"/>
      <c r="M186" s="189"/>
      <c r="N186" s="189"/>
    </row>
    <row r="187" spans="1:14" ht="15.75" customHeight="1" x14ac:dyDescent="0.2">
      <c r="A187" s="189"/>
      <c r="B187" s="183">
        <f>J176</f>
        <v>0.57999999999999996</v>
      </c>
      <c r="C187" s="271" t="s">
        <v>22</v>
      </c>
      <c r="D187" s="183">
        <f>C139</f>
        <v>1</v>
      </c>
      <c r="E187" s="271" t="s">
        <v>23</v>
      </c>
      <c r="F187" s="183">
        <f>ROUND((B187*D187),2)</f>
        <v>0.57999999999999996</v>
      </c>
      <c r="G187" s="189" t="str">
        <f>K176</f>
        <v>Balanço</v>
      </c>
      <c r="H187" s="189"/>
      <c r="I187" s="189"/>
      <c r="J187" s="189"/>
      <c r="K187" s="189"/>
      <c r="L187" s="189"/>
      <c r="M187" s="189"/>
      <c r="N187" s="189"/>
    </row>
    <row r="188" spans="1:14" ht="15.75" customHeight="1" x14ac:dyDescent="0.2">
      <c r="A188" s="189"/>
      <c r="B188" s="183">
        <f>J178</f>
        <v>0.18</v>
      </c>
      <c r="C188" s="271" t="s">
        <v>22</v>
      </c>
      <c r="D188" s="183">
        <f>C143</f>
        <v>1</v>
      </c>
      <c r="E188" s="271" t="s">
        <v>23</v>
      </c>
      <c r="F188" s="183">
        <f>ROUND((B188*D188),2)</f>
        <v>0.18</v>
      </c>
      <c r="G188" s="189" t="str">
        <f>K178</f>
        <v>Escada Horizontal</v>
      </c>
      <c r="H188" s="189"/>
      <c r="I188" s="189"/>
      <c r="J188" s="189"/>
      <c r="K188" s="189"/>
      <c r="L188" s="189"/>
      <c r="M188" s="189"/>
      <c r="N188" s="189"/>
    </row>
    <row r="189" spans="1:14" ht="31.5" customHeight="1" x14ac:dyDescent="0.2">
      <c r="A189" s="189"/>
      <c r="B189" s="183">
        <f>SUM(J180:J182)</f>
        <v>1.9099999999999997</v>
      </c>
      <c r="C189" s="271" t="s">
        <v>22</v>
      </c>
      <c r="D189" s="800">
        <f>C147</f>
        <v>1</v>
      </c>
      <c r="E189" s="271" t="s">
        <v>23</v>
      </c>
      <c r="F189" s="183">
        <f>ROUND((B189*D189),2)</f>
        <v>1.91</v>
      </c>
      <c r="G189" s="189" t="str">
        <f>K180</f>
        <v>Casinha</v>
      </c>
      <c r="H189" s="189"/>
      <c r="I189" s="189"/>
      <c r="J189" s="189"/>
      <c r="K189" s="189"/>
      <c r="L189" s="189"/>
      <c r="M189" s="189"/>
      <c r="N189" s="189"/>
    </row>
    <row r="190" spans="1:14" ht="15" x14ac:dyDescent="0.2">
      <c r="A190" s="189"/>
      <c r="B190" s="277"/>
      <c r="C190" s="278"/>
      <c r="D190" s="279"/>
      <c r="E190" s="271" t="s">
        <v>657</v>
      </c>
      <c r="F190" s="285">
        <f>SUM(F185:F189)</f>
        <v>2.9899999999999998</v>
      </c>
      <c r="G190" s="189"/>
      <c r="H190" s="189"/>
      <c r="I190" s="189"/>
      <c r="J190" s="189"/>
      <c r="K190" s="189"/>
      <c r="L190" s="189"/>
      <c r="M190" s="189"/>
      <c r="N190" s="189"/>
    </row>
    <row r="191" spans="1:14" x14ac:dyDescent="0.2">
      <c r="A191" s="189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</row>
    <row r="192" spans="1:14" x14ac:dyDescent="0.2">
      <c r="B192" s="200" t="s">
        <v>673</v>
      </c>
      <c r="C192" s="201">
        <f>F190</f>
        <v>2.9899999999999998</v>
      </c>
      <c r="D192" s="202" t="s">
        <v>5</v>
      </c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</row>
    <row r="193" spans="1:14" x14ac:dyDescent="0.2">
      <c r="A193" s="189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</row>
    <row r="194" spans="1:14" ht="15" x14ac:dyDescent="0.25">
      <c r="A194" s="220" t="str">
        <f>ORÇAMENTO!A76</f>
        <v>6.5.2</v>
      </c>
      <c r="B194" s="220" t="str">
        <f>ORÇAMENTO!D76</f>
        <v>LASTRO DE CONCRETO MAGRO, APLICADO EM BLOCOS DE COROAMENTO OU SAPATAS, ESPESSURA DE 3 CM. AF_08/2017</v>
      </c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</row>
    <row r="195" spans="1:14" x14ac:dyDescent="0.2">
      <c r="A195" s="189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</row>
    <row r="196" spans="1:14" ht="20.25" customHeight="1" x14ac:dyDescent="0.2">
      <c r="A196" s="189"/>
      <c r="B196" s="277" t="s">
        <v>674</v>
      </c>
      <c r="C196" s="278"/>
      <c r="D196" s="278"/>
      <c r="E196" s="278"/>
      <c r="F196" s="278"/>
      <c r="G196" s="278"/>
      <c r="H196" s="279"/>
      <c r="K196" s="189"/>
      <c r="L196" s="189"/>
      <c r="M196" s="189"/>
      <c r="N196" s="189"/>
    </row>
    <row r="197" spans="1:14" x14ac:dyDescent="0.2">
      <c r="A197" s="189"/>
      <c r="B197" s="271" t="s">
        <v>106</v>
      </c>
      <c r="C197" s="271"/>
      <c r="D197" s="271" t="s">
        <v>152</v>
      </c>
      <c r="E197" s="271"/>
      <c r="F197" s="271" t="s">
        <v>270</v>
      </c>
      <c r="G197" s="271"/>
      <c r="H197" s="271" t="s">
        <v>154</v>
      </c>
      <c r="I197" s="189"/>
      <c r="K197" s="189"/>
      <c r="L197" s="189"/>
      <c r="M197" s="179"/>
      <c r="N197" s="179"/>
    </row>
    <row r="198" spans="1:14" x14ac:dyDescent="0.2">
      <c r="A198" s="189"/>
      <c r="B198" s="301"/>
      <c r="C198" s="302"/>
      <c r="D198" s="302"/>
      <c r="E198" s="302"/>
      <c r="F198" s="302"/>
      <c r="G198" s="302"/>
      <c r="H198" s="303"/>
      <c r="I198" s="189"/>
      <c r="J198" s="189"/>
      <c r="K198" s="189"/>
      <c r="L198" s="189"/>
      <c r="M198" s="179"/>
      <c r="N198" s="179"/>
    </row>
    <row r="199" spans="1:14" x14ac:dyDescent="0.2">
      <c r="A199" s="189"/>
      <c r="B199" s="183">
        <v>0.3</v>
      </c>
      <c r="C199" s="271" t="s">
        <v>22</v>
      </c>
      <c r="D199" s="183">
        <v>0.3</v>
      </c>
      <c r="E199" s="271" t="s">
        <v>22</v>
      </c>
      <c r="F199" s="183">
        <f>H172</f>
        <v>1</v>
      </c>
      <c r="G199" s="271" t="s">
        <v>23</v>
      </c>
      <c r="H199" s="183">
        <f>ROUND((B199*D199*F199),2)</f>
        <v>0.09</v>
      </c>
      <c r="I199" s="189" t="s">
        <v>664</v>
      </c>
      <c r="J199" s="189"/>
      <c r="K199" s="189"/>
      <c r="L199" s="189"/>
      <c r="M199" s="179"/>
      <c r="N199" s="179"/>
    </row>
    <row r="200" spans="1:14" x14ac:dyDescent="0.2">
      <c r="A200" s="189"/>
      <c r="B200" s="301"/>
      <c r="C200" s="302"/>
      <c r="D200" s="302"/>
      <c r="E200" s="302"/>
      <c r="F200" s="302"/>
      <c r="G200" s="302"/>
      <c r="H200" s="303"/>
      <c r="I200" s="189"/>
      <c r="J200" s="189"/>
      <c r="K200" s="189"/>
      <c r="L200" s="189"/>
      <c r="M200" s="179"/>
      <c r="N200" s="179"/>
    </row>
    <row r="201" spans="1:14" x14ac:dyDescent="0.2">
      <c r="A201" s="189"/>
      <c r="B201" s="183">
        <v>0.3</v>
      </c>
      <c r="C201" s="271" t="s">
        <v>22</v>
      </c>
      <c r="D201" s="183">
        <v>0.3</v>
      </c>
      <c r="E201" s="271" t="s">
        <v>22</v>
      </c>
      <c r="F201" s="183">
        <f>H174</f>
        <v>2</v>
      </c>
      <c r="G201" s="271" t="s">
        <v>23</v>
      </c>
      <c r="H201" s="183">
        <f>ROUND((B201*D201*F201),2)</f>
        <v>0.18</v>
      </c>
      <c r="I201" s="189" t="s">
        <v>665</v>
      </c>
      <c r="J201" s="189"/>
      <c r="K201" s="189"/>
      <c r="L201" s="189"/>
      <c r="M201" s="179"/>
      <c r="N201" s="179"/>
    </row>
    <row r="202" spans="1:14" x14ac:dyDescent="0.2">
      <c r="A202" s="189"/>
      <c r="B202" s="301"/>
      <c r="C202" s="302"/>
      <c r="D202" s="302"/>
      <c r="E202" s="302"/>
      <c r="F202" s="302"/>
      <c r="G202" s="302"/>
      <c r="H202" s="303"/>
      <c r="I202" s="189"/>
      <c r="J202" s="189"/>
      <c r="K202" s="189"/>
      <c r="L202" s="189"/>
      <c r="M202" s="179"/>
      <c r="N202" s="179"/>
    </row>
    <row r="203" spans="1:14" x14ac:dyDescent="0.2">
      <c r="A203" s="189"/>
      <c r="B203" s="183">
        <v>0.3</v>
      </c>
      <c r="C203" s="271" t="s">
        <v>22</v>
      </c>
      <c r="D203" s="183">
        <v>0.3</v>
      </c>
      <c r="E203" s="271" t="s">
        <v>22</v>
      </c>
      <c r="F203" s="183">
        <f>H176</f>
        <v>6</v>
      </c>
      <c r="G203" s="271" t="s">
        <v>23</v>
      </c>
      <c r="H203" s="183">
        <f>ROUND((B203*D203*F203),2)</f>
        <v>0.54</v>
      </c>
      <c r="I203" s="189" t="s">
        <v>666</v>
      </c>
      <c r="J203" s="189"/>
      <c r="K203" s="189"/>
      <c r="L203" s="189"/>
      <c r="M203" s="179"/>
      <c r="N203" s="179"/>
    </row>
    <row r="204" spans="1:14" x14ac:dyDescent="0.2">
      <c r="A204" s="189"/>
      <c r="B204" s="301"/>
      <c r="C204" s="302"/>
      <c r="D204" s="302"/>
      <c r="E204" s="302"/>
      <c r="F204" s="302"/>
      <c r="G204" s="302"/>
      <c r="H204" s="303"/>
      <c r="I204" s="189"/>
      <c r="J204" s="189"/>
      <c r="K204" s="189"/>
      <c r="L204" s="189"/>
      <c r="M204" s="179"/>
      <c r="N204" s="179"/>
    </row>
    <row r="205" spans="1:14" x14ac:dyDescent="0.2">
      <c r="A205" s="189"/>
      <c r="B205" s="183">
        <v>0.15</v>
      </c>
      <c r="C205" s="271" t="s">
        <v>22</v>
      </c>
      <c r="D205" s="183">
        <v>0.15</v>
      </c>
      <c r="E205" s="271" t="s">
        <v>22</v>
      </c>
      <c r="F205" s="183">
        <f>H178</f>
        <v>4</v>
      </c>
      <c r="G205" s="271" t="s">
        <v>23</v>
      </c>
      <c r="H205" s="183">
        <f>ROUND((B205*D205*F205),2)</f>
        <v>0.09</v>
      </c>
      <c r="I205" s="189" t="s">
        <v>667</v>
      </c>
      <c r="J205" s="189"/>
      <c r="K205" s="189"/>
      <c r="L205" s="189"/>
      <c r="M205" s="179"/>
      <c r="N205" s="179"/>
    </row>
    <row r="206" spans="1:14" x14ac:dyDescent="0.2">
      <c r="A206" s="189"/>
      <c r="B206" s="301"/>
      <c r="C206" s="302"/>
      <c r="D206" s="302"/>
      <c r="E206" s="302"/>
      <c r="F206" s="302"/>
      <c r="G206" s="302"/>
      <c r="H206" s="303"/>
      <c r="I206" s="189"/>
      <c r="J206" s="189"/>
      <c r="K206" s="189"/>
      <c r="L206" s="189"/>
      <c r="M206" s="179"/>
      <c r="N206" s="179"/>
    </row>
    <row r="207" spans="1:14" x14ac:dyDescent="0.2">
      <c r="A207" s="189"/>
      <c r="B207" s="183">
        <v>0.35</v>
      </c>
      <c r="C207" s="271" t="s">
        <v>22</v>
      </c>
      <c r="D207" s="183">
        <v>0.35</v>
      </c>
      <c r="E207" s="271" t="s">
        <v>22</v>
      </c>
      <c r="F207" s="184">
        <f>H180</f>
        <v>16</v>
      </c>
      <c r="G207" s="271" t="s">
        <v>23</v>
      </c>
      <c r="H207" s="183">
        <f>ROUND((B207*D207*F207),2)</f>
        <v>1.96</v>
      </c>
      <c r="I207" s="189" t="s">
        <v>668</v>
      </c>
      <c r="J207" s="189"/>
      <c r="K207" s="189"/>
      <c r="L207" s="189"/>
      <c r="M207" s="179"/>
      <c r="N207" s="179"/>
    </row>
    <row r="208" spans="1:14" x14ac:dyDescent="0.2">
      <c r="A208" s="189"/>
      <c r="B208" s="183">
        <v>0.35</v>
      </c>
      <c r="C208" s="271" t="s">
        <v>22</v>
      </c>
      <c r="D208" s="183">
        <v>0.35</v>
      </c>
      <c r="E208" s="271" t="s">
        <v>22</v>
      </c>
      <c r="F208" s="184">
        <f t="shared" ref="F208:F209" si="1">H181</f>
        <v>4</v>
      </c>
      <c r="G208" s="271" t="s">
        <v>23</v>
      </c>
      <c r="H208" s="183">
        <f t="shared" ref="H208:H209" si="2">ROUND((B208*D208*F208),2)</f>
        <v>0.49</v>
      </c>
      <c r="I208" s="189" t="s">
        <v>669</v>
      </c>
      <c r="J208" s="189"/>
      <c r="K208" s="189"/>
      <c r="L208" s="189"/>
      <c r="M208" s="179"/>
      <c r="N208" s="179"/>
    </row>
    <row r="209" spans="1:14" x14ac:dyDescent="0.2">
      <c r="A209" s="189"/>
      <c r="B209" s="183">
        <v>0.35</v>
      </c>
      <c r="C209" s="271" t="s">
        <v>22</v>
      </c>
      <c r="D209" s="183">
        <v>0.35</v>
      </c>
      <c r="E209" s="271" t="s">
        <v>22</v>
      </c>
      <c r="F209" s="184">
        <f t="shared" si="1"/>
        <v>2</v>
      </c>
      <c r="G209" s="271" t="s">
        <v>23</v>
      </c>
      <c r="H209" s="183">
        <f t="shared" si="2"/>
        <v>0.25</v>
      </c>
      <c r="I209" s="189" t="s">
        <v>670</v>
      </c>
      <c r="J209" s="189"/>
      <c r="K209" s="189"/>
      <c r="L209" s="189"/>
      <c r="M209" s="179"/>
      <c r="N209" s="179"/>
    </row>
    <row r="210" spans="1:14" x14ac:dyDescent="0.2">
      <c r="A210" s="189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</row>
    <row r="211" spans="1:14" x14ac:dyDescent="0.2">
      <c r="A211" s="189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</row>
    <row r="212" spans="1:14" ht="20.25" customHeight="1" x14ac:dyDescent="0.2">
      <c r="A212" s="189"/>
      <c r="B212" s="271" t="s">
        <v>581</v>
      </c>
      <c r="C212" s="271"/>
      <c r="D212" s="271" t="s">
        <v>675</v>
      </c>
      <c r="E212" s="271"/>
      <c r="F212" s="271" t="s">
        <v>154</v>
      </c>
      <c r="G212" s="189"/>
      <c r="H212" s="189"/>
      <c r="I212" s="189"/>
      <c r="J212" s="189"/>
      <c r="K212" s="189"/>
      <c r="L212" s="189"/>
      <c r="M212" s="189"/>
      <c r="N212" s="189"/>
    </row>
    <row r="213" spans="1:14" x14ac:dyDescent="0.2">
      <c r="A213" s="189"/>
      <c r="B213" s="183">
        <f>H199</f>
        <v>0.09</v>
      </c>
      <c r="C213" s="271" t="s">
        <v>22</v>
      </c>
      <c r="D213" s="183">
        <f>C131</f>
        <v>1</v>
      </c>
      <c r="E213" s="271" t="s">
        <v>23</v>
      </c>
      <c r="F213" s="183">
        <f>ROUND((B213*D213),2)</f>
        <v>0.09</v>
      </c>
      <c r="G213" s="189" t="str">
        <f>I199</f>
        <v>Carrossel</v>
      </c>
      <c r="H213" s="189"/>
      <c r="I213" s="189"/>
      <c r="J213" s="189"/>
      <c r="K213" s="189"/>
      <c r="L213" s="189"/>
      <c r="M213" s="189"/>
      <c r="N213" s="189"/>
    </row>
    <row r="214" spans="1:14" x14ac:dyDescent="0.2">
      <c r="A214" s="189"/>
      <c r="B214" s="183">
        <f>H201</f>
        <v>0.18</v>
      </c>
      <c r="C214" s="271" t="s">
        <v>22</v>
      </c>
      <c r="D214" s="183">
        <f>C135</f>
        <v>1</v>
      </c>
      <c r="E214" s="271" t="s">
        <v>23</v>
      </c>
      <c r="F214" s="183">
        <f>ROUND((B214*D214),2)</f>
        <v>0.18</v>
      </c>
      <c r="G214" s="189" t="str">
        <f>I201</f>
        <v>Gangorra dupla</v>
      </c>
      <c r="H214" s="189"/>
      <c r="I214" s="189"/>
      <c r="J214" s="189"/>
      <c r="K214" s="189"/>
      <c r="L214" s="189"/>
      <c r="M214" s="189"/>
      <c r="N214" s="189"/>
    </row>
    <row r="215" spans="1:14" x14ac:dyDescent="0.2">
      <c r="A215" s="189"/>
      <c r="B215" s="183">
        <f>H203</f>
        <v>0.54</v>
      </c>
      <c r="C215" s="271" t="s">
        <v>22</v>
      </c>
      <c r="D215" s="183">
        <f>C143</f>
        <v>1</v>
      </c>
      <c r="E215" s="271" t="s">
        <v>23</v>
      </c>
      <c r="F215" s="183">
        <f>ROUND((B215*D215),2)</f>
        <v>0.54</v>
      </c>
      <c r="G215" s="189" t="str">
        <f>I203</f>
        <v>Balanço</v>
      </c>
      <c r="H215" s="189"/>
      <c r="I215" s="189"/>
      <c r="J215" s="189"/>
      <c r="K215" s="189"/>
      <c r="L215" s="189"/>
      <c r="M215" s="189"/>
      <c r="N215" s="189"/>
    </row>
    <row r="216" spans="1:14" x14ac:dyDescent="0.2">
      <c r="A216" s="189"/>
      <c r="B216" s="183">
        <f>H205</f>
        <v>0.09</v>
      </c>
      <c r="C216" s="271" t="s">
        <v>22</v>
      </c>
      <c r="D216" s="183">
        <f>C139</f>
        <v>1</v>
      </c>
      <c r="E216" s="271" t="s">
        <v>23</v>
      </c>
      <c r="F216" s="183">
        <f>ROUND((B216*D216),2)</f>
        <v>0.09</v>
      </c>
      <c r="G216" s="189" t="str">
        <f>I205</f>
        <v>Escada Horizontal</v>
      </c>
      <c r="H216" s="189"/>
      <c r="I216" s="189"/>
      <c r="J216" s="189"/>
      <c r="K216" s="189"/>
      <c r="L216" s="189"/>
      <c r="M216" s="189"/>
      <c r="N216" s="189"/>
    </row>
    <row r="217" spans="1:14" x14ac:dyDescent="0.2">
      <c r="A217" s="189"/>
      <c r="B217" s="183">
        <f>ROUND(SUM(H207:H209),2)</f>
        <v>2.7</v>
      </c>
      <c r="C217" s="271" t="s">
        <v>22</v>
      </c>
      <c r="D217" s="183">
        <f>D189</f>
        <v>1</v>
      </c>
      <c r="E217" s="271" t="s">
        <v>23</v>
      </c>
      <c r="F217" s="183">
        <f>ROUND((B217*D217),2)</f>
        <v>2.7</v>
      </c>
      <c r="G217" s="189" t="str">
        <f>I207</f>
        <v>Casinha</v>
      </c>
      <c r="H217" s="189"/>
      <c r="I217" s="189"/>
      <c r="J217" s="189"/>
      <c r="K217" s="189"/>
      <c r="L217" s="189"/>
      <c r="M217" s="189"/>
      <c r="N217" s="189"/>
    </row>
    <row r="218" spans="1:14" ht="15" x14ac:dyDescent="0.2">
      <c r="A218" s="189"/>
      <c r="B218" s="277"/>
      <c r="C218" s="278"/>
      <c r="D218" s="279"/>
      <c r="E218" s="271" t="s">
        <v>657</v>
      </c>
      <c r="F218" s="285">
        <f>SUM(F213:F217)</f>
        <v>3.6</v>
      </c>
      <c r="G218" s="189"/>
      <c r="H218" s="189"/>
      <c r="I218" s="189"/>
      <c r="J218" s="189"/>
      <c r="K218" s="189"/>
      <c r="L218" s="189"/>
      <c r="M218" s="189"/>
      <c r="N218" s="189"/>
    </row>
    <row r="219" spans="1:14" x14ac:dyDescent="0.2">
      <c r="A219" s="189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</row>
    <row r="220" spans="1:14" x14ac:dyDescent="0.2">
      <c r="A220" s="189"/>
      <c r="B220" s="200" t="s">
        <v>673</v>
      </c>
      <c r="C220" s="201">
        <f>F218</f>
        <v>3.6</v>
      </c>
      <c r="D220" s="202" t="s">
        <v>4</v>
      </c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</row>
    <row r="221" spans="1:14" x14ac:dyDescent="0.2">
      <c r="A221" s="189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</row>
    <row r="222" spans="1:14" ht="29.25" customHeight="1" x14ac:dyDescent="0.2">
      <c r="A222" s="260" t="str">
        <f>ORÇAMENTO!A77</f>
        <v>6.5.3</v>
      </c>
      <c r="B222" s="1212" t="str">
        <f>ORÇAMENTO!D77</f>
        <v>FABRICAÇÃO, MONTAGEM E DESMONTAGEM DE FÔRMA PARA BLOCO DE COROAMENTO, EM MADEIRA SERRADA, E=25 MM, 4 UTILIZAÇÕES. AF_06/2017</v>
      </c>
      <c r="C222" s="1212"/>
      <c r="D222" s="1212"/>
      <c r="E222" s="1212"/>
      <c r="F222" s="1212"/>
      <c r="G222" s="1212"/>
      <c r="H222" s="1212"/>
      <c r="I222" s="1212"/>
      <c r="J222" s="1212"/>
      <c r="K222" s="1212"/>
      <c r="L222" s="1212"/>
      <c r="M222" s="1212"/>
      <c r="N222" s="1212"/>
    </row>
    <row r="223" spans="1:14" ht="7.5" customHeight="1" x14ac:dyDescent="0.2">
      <c r="A223" s="189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</row>
    <row r="224" spans="1:14" ht="14.25" customHeight="1" x14ac:dyDescent="0.2">
      <c r="A224" s="189"/>
      <c r="B224" s="298" t="s">
        <v>676</v>
      </c>
      <c r="C224" s="278"/>
      <c r="D224" s="278"/>
      <c r="E224" s="278"/>
      <c r="F224" s="278"/>
      <c r="G224" s="278"/>
      <c r="H224" s="279"/>
      <c r="I224" s="189"/>
      <c r="J224" s="189"/>
      <c r="K224" s="189"/>
      <c r="L224" s="189"/>
      <c r="M224" s="189"/>
      <c r="N224" s="189"/>
    </row>
    <row r="225" spans="1:14" x14ac:dyDescent="0.2">
      <c r="A225" s="189"/>
      <c r="B225" s="271" t="s">
        <v>677</v>
      </c>
      <c r="C225" s="271"/>
      <c r="D225" s="271" t="s">
        <v>98</v>
      </c>
      <c r="E225" s="271"/>
      <c r="F225" s="271" t="s">
        <v>270</v>
      </c>
      <c r="G225" s="271"/>
      <c r="H225" s="271" t="s">
        <v>154</v>
      </c>
      <c r="I225" s="189"/>
      <c r="J225" s="189"/>
      <c r="K225" s="189"/>
      <c r="L225" s="189"/>
      <c r="M225" s="189"/>
      <c r="N225" s="189"/>
    </row>
    <row r="226" spans="1:14" ht="5.25" customHeight="1" x14ac:dyDescent="0.2">
      <c r="A226" s="189"/>
      <c r="B226" s="301"/>
      <c r="C226" s="302"/>
      <c r="D226" s="302"/>
      <c r="E226" s="302"/>
      <c r="F226" s="302"/>
      <c r="G226" s="302"/>
      <c r="H226" s="303"/>
      <c r="I226" s="189"/>
      <c r="J226" s="189"/>
      <c r="K226" s="189"/>
      <c r="L226" s="189"/>
      <c r="M226" s="189"/>
      <c r="N226" s="189"/>
    </row>
    <row r="227" spans="1:14" x14ac:dyDescent="0.2">
      <c r="A227" s="189"/>
      <c r="B227" s="183">
        <f>((0.3+0.3+0.3+0.3))</f>
        <v>1.2</v>
      </c>
      <c r="C227" s="271" t="s">
        <v>22</v>
      </c>
      <c r="D227" s="183">
        <f>F172</f>
        <v>0.6</v>
      </c>
      <c r="E227" s="271" t="s">
        <v>22</v>
      </c>
      <c r="F227" s="183">
        <f>H172</f>
        <v>1</v>
      </c>
      <c r="G227" s="271" t="s">
        <v>23</v>
      </c>
      <c r="H227" s="183">
        <f>ROUND((B227*D227*F227),2)</f>
        <v>0.72</v>
      </c>
      <c r="I227" s="189" t="s">
        <v>664</v>
      </c>
      <c r="J227" s="189"/>
      <c r="K227" s="189"/>
      <c r="L227" s="189"/>
      <c r="M227" s="189"/>
      <c r="N227" s="189"/>
    </row>
    <row r="228" spans="1:14" ht="4.5" customHeight="1" x14ac:dyDescent="0.2">
      <c r="A228" s="189"/>
      <c r="B228" s="301"/>
      <c r="C228" s="302"/>
      <c r="D228" s="302"/>
      <c r="E228" s="302"/>
      <c r="F228" s="302"/>
      <c r="G228" s="302"/>
      <c r="H228" s="303"/>
      <c r="I228" s="189"/>
      <c r="J228" s="189"/>
      <c r="K228" s="189"/>
      <c r="L228" s="189"/>
      <c r="M228" s="189"/>
      <c r="N228" s="189"/>
    </row>
    <row r="229" spans="1:14" x14ac:dyDescent="0.2">
      <c r="A229" s="189"/>
      <c r="B229" s="183">
        <f>((0.3+0.3+0.3+0.3))</f>
        <v>1.2</v>
      </c>
      <c r="C229" s="271" t="s">
        <v>22</v>
      </c>
      <c r="D229" s="183">
        <f>F174</f>
        <v>0.7</v>
      </c>
      <c r="E229" s="271" t="s">
        <v>22</v>
      </c>
      <c r="F229" s="183">
        <f>H174</f>
        <v>2</v>
      </c>
      <c r="G229" s="271" t="s">
        <v>23</v>
      </c>
      <c r="H229" s="183">
        <f>ROUND((B229*D229*F229),2)</f>
        <v>1.68</v>
      </c>
      <c r="I229" s="189" t="s">
        <v>665</v>
      </c>
      <c r="J229" s="189"/>
      <c r="K229" s="189"/>
      <c r="L229" s="189"/>
      <c r="M229" s="189"/>
      <c r="N229" s="189"/>
    </row>
    <row r="230" spans="1:14" ht="6" customHeight="1" x14ac:dyDescent="0.2">
      <c r="A230" s="189"/>
      <c r="B230" s="301"/>
      <c r="C230" s="302"/>
      <c r="D230" s="302"/>
      <c r="E230" s="302"/>
      <c r="F230" s="302"/>
      <c r="G230" s="302"/>
      <c r="H230" s="303"/>
      <c r="I230" s="189"/>
      <c r="J230" s="189"/>
      <c r="K230" s="189"/>
      <c r="L230" s="189"/>
      <c r="M230" s="189"/>
      <c r="N230" s="189"/>
    </row>
    <row r="231" spans="1:14" x14ac:dyDescent="0.2">
      <c r="A231" s="189"/>
      <c r="B231" s="183">
        <f>((0.3+0.3+0.3+0.3))</f>
        <v>1.2</v>
      </c>
      <c r="C231" s="271" t="s">
        <v>22</v>
      </c>
      <c r="D231" s="183">
        <f>F176</f>
        <v>0.6</v>
      </c>
      <c r="E231" s="271" t="s">
        <v>22</v>
      </c>
      <c r="F231" s="183">
        <f>H176</f>
        <v>6</v>
      </c>
      <c r="G231" s="271" t="s">
        <v>23</v>
      </c>
      <c r="H231" s="183">
        <f>ROUND((B231*D231*F231),2)</f>
        <v>4.32</v>
      </c>
      <c r="I231" s="189" t="s">
        <v>666</v>
      </c>
      <c r="J231" s="189"/>
      <c r="K231" s="189"/>
      <c r="L231" s="189"/>
      <c r="M231" s="189"/>
      <c r="N231" s="189"/>
    </row>
    <row r="232" spans="1:14" ht="4.5" customHeight="1" x14ac:dyDescent="0.2">
      <c r="A232" s="189"/>
      <c r="B232" s="301"/>
      <c r="C232" s="302"/>
      <c r="D232" s="302"/>
      <c r="E232" s="302"/>
      <c r="F232" s="302"/>
      <c r="G232" s="302"/>
      <c r="H232" s="303"/>
      <c r="I232" s="189"/>
      <c r="J232" s="189"/>
      <c r="K232" s="189"/>
      <c r="L232" s="189"/>
      <c r="M232" s="189"/>
      <c r="N232" s="189"/>
    </row>
    <row r="233" spans="1:14" x14ac:dyDescent="0.2">
      <c r="A233" s="189"/>
      <c r="B233" s="183">
        <f>0.15+0.15+0.15+0.15</f>
        <v>0.6</v>
      </c>
      <c r="C233" s="271" t="s">
        <v>22</v>
      </c>
      <c r="D233" s="183">
        <f>F174</f>
        <v>0.7</v>
      </c>
      <c r="E233" s="271" t="s">
        <v>22</v>
      </c>
      <c r="F233" s="183">
        <f>H178</f>
        <v>4</v>
      </c>
      <c r="G233" s="271" t="s">
        <v>23</v>
      </c>
      <c r="H233" s="183">
        <f>ROUND((B233*D233*F233),2)</f>
        <v>1.68</v>
      </c>
      <c r="I233" s="189" t="s">
        <v>678</v>
      </c>
      <c r="J233" s="189"/>
      <c r="K233" s="189"/>
      <c r="L233" s="189"/>
      <c r="M233" s="189"/>
      <c r="N233" s="189"/>
    </row>
    <row r="234" spans="1:14" ht="3.75" customHeight="1" x14ac:dyDescent="0.2">
      <c r="A234" s="189"/>
      <c r="B234" s="302"/>
      <c r="C234" s="302"/>
      <c r="D234" s="302"/>
      <c r="E234" s="302"/>
      <c r="F234" s="302"/>
      <c r="G234" s="302"/>
      <c r="H234" s="302"/>
      <c r="I234" s="189"/>
      <c r="L234" s="189"/>
      <c r="M234" s="189"/>
      <c r="N234" s="189"/>
    </row>
    <row r="235" spans="1:14" x14ac:dyDescent="0.2">
      <c r="A235" s="189"/>
      <c r="B235" s="183">
        <f>0.35+0.35+0.35+0.35</f>
        <v>1.4</v>
      </c>
      <c r="C235" s="271" t="s">
        <v>22</v>
      </c>
      <c r="D235" s="183">
        <f>F180</f>
        <v>0.43</v>
      </c>
      <c r="E235" s="271" t="s">
        <v>22</v>
      </c>
      <c r="F235" s="183">
        <f>H180</f>
        <v>16</v>
      </c>
      <c r="G235" s="271" t="s">
        <v>23</v>
      </c>
      <c r="H235" s="183">
        <f>ROUND((B235*D235*F235),2)</f>
        <v>9.6300000000000008</v>
      </c>
      <c r="I235" s="189" t="s">
        <v>668</v>
      </c>
      <c r="L235" s="189"/>
      <c r="M235" s="189"/>
      <c r="N235" s="189"/>
    </row>
    <row r="236" spans="1:14" x14ac:dyDescent="0.2">
      <c r="A236" s="189"/>
      <c r="B236" s="183">
        <f>0.35+0.35+0.35+0.35</f>
        <v>1.4</v>
      </c>
      <c r="C236" s="271" t="s">
        <v>22</v>
      </c>
      <c r="D236" s="183">
        <f>F181</f>
        <v>0.43</v>
      </c>
      <c r="E236" s="271" t="s">
        <v>22</v>
      </c>
      <c r="F236" s="183">
        <f>H181</f>
        <v>4</v>
      </c>
      <c r="G236" s="271" t="s">
        <v>23</v>
      </c>
      <c r="H236" s="183">
        <f>ROUND((B236*D236*F236),2)</f>
        <v>2.41</v>
      </c>
      <c r="I236" s="189" t="s">
        <v>669</v>
      </c>
      <c r="L236" s="189"/>
      <c r="M236" s="189"/>
      <c r="N236" s="189"/>
    </row>
    <row r="237" spans="1:14" x14ac:dyDescent="0.2">
      <c r="A237" s="189"/>
      <c r="B237" s="183">
        <f>0.35+0.35+0.35+0.35</f>
        <v>1.4</v>
      </c>
      <c r="C237" s="271" t="s">
        <v>22</v>
      </c>
      <c r="D237" s="183">
        <f>F182</f>
        <v>0.43</v>
      </c>
      <c r="E237" s="271" t="s">
        <v>22</v>
      </c>
      <c r="F237" s="184">
        <f>F209</f>
        <v>2</v>
      </c>
      <c r="G237" s="271" t="s">
        <v>23</v>
      </c>
      <c r="H237" s="183">
        <f>ROUND((B237*D237*F237),2)</f>
        <v>1.2</v>
      </c>
      <c r="I237" s="189" t="s">
        <v>670</v>
      </c>
      <c r="L237" s="189"/>
      <c r="M237" s="189"/>
      <c r="N237" s="189"/>
    </row>
    <row r="238" spans="1:14" x14ac:dyDescent="0.2">
      <c r="A238" s="189"/>
      <c r="B238" s="292"/>
      <c r="C238" s="291"/>
      <c r="D238" s="292"/>
      <c r="E238" s="291"/>
      <c r="F238" s="292"/>
      <c r="G238" s="291"/>
      <c r="H238" s="292"/>
      <c r="I238" s="189"/>
      <c r="J238" s="189"/>
      <c r="K238" s="189"/>
      <c r="L238" s="189"/>
      <c r="M238" s="189"/>
      <c r="N238" s="189"/>
    </row>
    <row r="239" spans="1:14" x14ac:dyDescent="0.2">
      <c r="A239" s="189"/>
      <c r="B239" s="271" t="s">
        <v>581</v>
      </c>
      <c r="C239" s="271"/>
      <c r="D239" s="271" t="s">
        <v>675</v>
      </c>
      <c r="E239" s="271"/>
      <c r="F239" s="271" t="s">
        <v>154</v>
      </c>
      <c r="G239" s="189"/>
      <c r="H239" s="189"/>
      <c r="I239" s="189"/>
      <c r="J239" s="189"/>
      <c r="K239" s="189"/>
      <c r="L239" s="189"/>
      <c r="M239" s="189"/>
      <c r="N239" s="189"/>
    </row>
    <row r="240" spans="1:14" x14ac:dyDescent="0.2">
      <c r="A240" s="189"/>
      <c r="B240" s="183">
        <f>H227</f>
        <v>0.72</v>
      </c>
      <c r="C240" s="271" t="s">
        <v>22</v>
      </c>
      <c r="D240" s="183">
        <f>C131</f>
        <v>1</v>
      </c>
      <c r="E240" s="271" t="s">
        <v>23</v>
      </c>
      <c r="F240" s="183">
        <f>ROUND((B240*D240),2)</f>
        <v>0.72</v>
      </c>
      <c r="G240" s="189" t="s">
        <v>664</v>
      </c>
      <c r="H240" s="189"/>
      <c r="I240" s="189"/>
      <c r="J240" s="189"/>
      <c r="K240" s="189"/>
      <c r="L240" s="189"/>
      <c r="M240" s="189"/>
      <c r="N240" s="189"/>
    </row>
    <row r="241" spans="1:14" x14ac:dyDescent="0.2">
      <c r="A241" s="189"/>
      <c r="B241" s="183">
        <f>H229</f>
        <v>1.68</v>
      </c>
      <c r="C241" s="271" t="s">
        <v>22</v>
      </c>
      <c r="D241" s="183">
        <f>C135</f>
        <v>1</v>
      </c>
      <c r="E241" s="271" t="s">
        <v>23</v>
      </c>
      <c r="F241" s="183">
        <f>ROUND((B241*D241),2)</f>
        <v>1.68</v>
      </c>
      <c r="G241" s="189" t="s">
        <v>665</v>
      </c>
      <c r="H241" s="189"/>
      <c r="I241" s="189"/>
      <c r="J241" s="189"/>
      <c r="K241" s="189"/>
      <c r="L241" s="189"/>
      <c r="M241" s="189"/>
      <c r="N241" s="189"/>
    </row>
    <row r="242" spans="1:14" x14ac:dyDescent="0.2">
      <c r="A242" s="189"/>
      <c r="B242" s="183">
        <f>H231</f>
        <v>4.32</v>
      </c>
      <c r="C242" s="271" t="s">
        <v>22</v>
      </c>
      <c r="D242" s="183">
        <v>1</v>
      </c>
      <c r="E242" s="271" t="s">
        <v>23</v>
      </c>
      <c r="F242" s="183">
        <f>ROUND((B242*D242),2)</f>
        <v>4.32</v>
      </c>
      <c r="G242" s="189" t="str">
        <f>I231</f>
        <v>Balanço</v>
      </c>
      <c r="H242" s="189"/>
      <c r="I242" s="189"/>
      <c r="J242" s="189"/>
      <c r="K242" s="189"/>
      <c r="L242" s="189"/>
      <c r="M242" s="189"/>
      <c r="N242" s="189"/>
    </row>
    <row r="243" spans="1:14" x14ac:dyDescent="0.2">
      <c r="A243" s="189"/>
      <c r="B243" s="183">
        <f>H233</f>
        <v>1.68</v>
      </c>
      <c r="C243" s="271" t="s">
        <v>22</v>
      </c>
      <c r="D243" s="183">
        <v>1</v>
      </c>
      <c r="E243" s="271" t="s">
        <v>23</v>
      </c>
      <c r="F243" s="183">
        <f>ROUND((B243*D243),2)</f>
        <v>1.68</v>
      </c>
      <c r="G243" s="189" t="str">
        <f>I233</f>
        <v>Escada horizontal</v>
      </c>
      <c r="H243" s="189"/>
      <c r="I243" s="189"/>
      <c r="J243" s="189"/>
      <c r="K243" s="189"/>
      <c r="L243" s="189"/>
      <c r="M243" s="189"/>
      <c r="N243" s="189"/>
    </row>
    <row r="244" spans="1:14" x14ac:dyDescent="0.2">
      <c r="A244" s="189"/>
      <c r="B244" s="183">
        <f>SUM(H235:H237)</f>
        <v>13.24</v>
      </c>
      <c r="C244" s="271" t="s">
        <v>22</v>
      </c>
      <c r="D244" s="184">
        <f>D217</f>
        <v>1</v>
      </c>
      <c r="E244" s="271" t="s">
        <v>23</v>
      </c>
      <c r="F244" s="183">
        <f>ROUND((B244*D244),2)</f>
        <v>13.24</v>
      </c>
      <c r="G244" s="189" t="str">
        <f>I235</f>
        <v>Casinha</v>
      </c>
      <c r="H244" s="189"/>
      <c r="I244" s="189"/>
      <c r="J244" s="189"/>
      <c r="K244" s="189"/>
      <c r="L244" s="189"/>
      <c r="M244" s="189"/>
      <c r="N244" s="189"/>
    </row>
    <row r="245" spans="1:14" ht="15" x14ac:dyDescent="0.2">
      <c r="A245" s="189"/>
      <c r="B245" s="277"/>
      <c r="C245" s="278"/>
      <c r="D245" s="279"/>
      <c r="E245" s="271" t="s">
        <v>657</v>
      </c>
      <c r="F245" s="285">
        <f>SUM(F240:F244)</f>
        <v>21.64</v>
      </c>
      <c r="G245" s="189"/>
      <c r="H245" s="189"/>
      <c r="I245" s="189"/>
      <c r="J245" s="189"/>
      <c r="K245" s="189"/>
      <c r="L245" s="189"/>
      <c r="M245" s="189"/>
      <c r="N245" s="189"/>
    </row>
    <row r="246" spans="1:14" x14ac:dyDescent="0.2">
      <c r="A246" s="189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</row>
    <row r="247" spans="1:14" x14ac:dyDescent="0.2">
      <c r="B247" s="200" t="s">
        <v>673</v>
      </c>
      <c r="C247" s="201">
        <f>F245</f>
        <v>21.64</v>
      </c>
      <c r="D247" s="202" t="s">
        <v>4</v>
      </c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</row>
    <row r="248" spans="1:14" x14ac:dyDescent="0.2">
      <c r="A248" s="189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</row>
    <row r="249" spans="1:14" ht="15" customHeight="1" x14ac:dyDescent="0.2">
      <c r="A249" s="238" t="str">
        <f>ORÇAMENTO!A78</f>
        <v>6.5.4</v>
      </c>
      <c r="B249" s="318" t="str">
        <f>ORÇAMENTO!D78</f>
        <v>CONCRETO CICLÓPICO FCK = 15MPA, 30% PEDRA DE MÃO EM VOLUME REAL, INCLUSIVE LANÇAMENTO. AF_05/2021</v>
      </c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</row>
    <row r="250" spans="1:14" ht="15" x14ac:dyDescent="0.2">
      <c r="A250" s="238" t="str">
        <f>ORÇAMENTO!A79</f>
        <v>6.5.5</v>
      </c>
      <c r="B250" s="318" t="str">
        <f>ORÇAMENTO!D79</f>
        <v>LANÇAMENTO COM USO DE BALDES, ADENSAMENTO E ACABAMENTO DE CONCRETO EM ESTRUTURAS. AF_02/2022</v>
      </c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</row>
    <row r="251" spans="1:14" x14ac:dyDescent="0.2">
      <c r="A251" s="189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</row>
    <row r="252" spans="1:14" x14ac:dyDescent="0.2">
      <c r="A252" s="189"/>
      <c r="B252" s="277" t="s">
        <v>679</v>
      </c>
      <c r="C252" s="278"/>
      <c r="D252" s="278"/>
      <c r="E252" s="278"/>
      <c r="F252" s="278"/>
      <c r="G252" s="278"/>
      <c r="H252" s="278"/>
      <c r="I252" s="278"/>
      <c r="J252" s="279"/>
      <c r="K252" s="189"/>
      <c r="L252" s="189"/>
      <c r="M252" s="189"/>
      <c r="N252" s="189"/>
    </row>
    <row r="253" spans="1:14" x14ac:dyDescent="0.2">
      <c r="A253" s="189"/>
      <c r="B253" s="271" t="s">
        <v>106</v>
      </c>
      <c r="C253" s="271"/>
      <c r="D253" s="271" t="s">
        <v>152</v>
      </c>
      <c r="E253" s="271"/>
      <c r="F253" s="271" t="s">
        <v>98</v>
      </c>
      <c r="G253" s="271"/>
      <c r="H253" s="271" t="s">
        <v>270</v>
      </c>
      <c r="I253" s="271"/>
      <c r="J253" s="271" t="s">
        <v>154</v>
      </c>
      <c r="K253" s="189"/>
      <c r="L253" s="189"/>
      <c r="M253" s="189"/>
      <c r="N253" s="189"/>
    </row>
    <row r="254" spans="1:14" x14ac:dyDescent="0.2">
      <c r="A254" s="189"/>
      <c r="B254" s="301"/>
      <c r="C254" s="302"/>
      <c r="D254" s="302"/>
      <c r="E254" s="302"/>
      <c r="F254" s="302"/>
      <c r="G254" s="302"/>
      <c r="H254" s="302"/>
      <c r="I254" s="302"/>
      <c r="J254" s="303"/>
      <c r="K254" s="189"/>
      <c r="L254" s="189"/>
      <c r="M254" s="189"/>
      <c r="N254" s="189"/>
    </row>
    <row r="255" spans="1:14" x14ac:dyDescent="0.2">
      <c r="A255" s="189"/>
      <c r="B255" s="183">
        <v>0.3</v>
      </c>
      <c r="C255" s="271" t="s">
        <v>22</v>
      </c>
      <c r="D255" s="183">
        <v>0.3</v>
      </c>
      <c r="E255" s="271" t="s">
        <v>22</v>
      </c>
      <c r="F255" s="183">
        <v>0.6</v>
      </c>
      <c r="G255" s="271" t="s">
        <v>22</v>
      </c>
      <c r="H255" s="183">
        <f>F227</f>
        <v>1</v>
      </c>
      <c r="I255" s="271" t="s">
        <v>23</v>
      </c>
      <c r="J255" s="183">
        <f>ROUND((B255*D255*F255*H255),2)</f>
        <v>0.05</v>
      </c>
      <c r="K255" s="189" t="s">
        <v>664</v>
      </c>
      <c r="L255" s="189"/>
      <c r="M255" s="189"/>
      <c r="N255" s="189"/>
    </row>
    <row r="256" spans="1:14" x14ac:dyDescent="0.2">
      <c r="A256" s="189"/>
      <c r="B256" s="301"/>
      <c r="C256" s="302"/>
      <c r="D256" s="302"/>
      <c r="E256" s="302"/>
      <c r="F256" s="302"/>
      <c r="G256" s="302"/>
      <c r="H256" s="302"/>
      <c r="I256" s="302"/>
      <c r="J256" s="303"/>
      <c r="K256" s="189"/>
      <c r="L256" s="189"/>
      <c r="M256" s="189"/>
      <c r="N256" s="189"/>
    </row>
    <row r="257" spans="1:14" x14ac:dyDescent="0.2">
      <c r="A257" s="189"/>
      <c r="B257" s="183">
        <v>0.3</v>
      </c>
      <c r="C257" s="271" t="s">
        <v>22</v>
      </c>
      <c r="D257" s="183">
        <v>0.3</v>
      </c>
      <c r="E257" s="271" t="s">
        <v>22</v>
      </c>
      <c r="F257" s="183">
        <v>0.7</v>
      </c>
      <c r="G257" s="271" t="s">
        <v>22</v>
      </c>
      <c r="H257" s="183">
        <v>2</v>
      </c>
      <c r="I257" s="271" t="s">
        <v>23</v>
      </c>
      <c r="J257" s="183">
        <f>ROUND((B257*D257*F257*H257),2)</f>
        <v>0.13</v>
      </c>
      <c r="K257" s="189" t="s">
        <v>665</v>
      </c>
      <c r="L257" s="189"/>
      <c r="M257" s="189"/>
      <c r="N257" s="189"/>
    </row>
    <row r="258" spans="1:14" x14ac:dyDescent="0.2">
      <c r="A258" s="189"/>
      <c r="B258" s="301"/>
      <c r="C258" s="302"/>
      <c r="D258" s="302"/>
      <c r="E258" s="302"/>
      <c r="F258" s="302"/>
      <c r="G258" s="302"/>
      <c r="H258" s="302"/>
      <c r="I258" s="302"/>
      <c r="J258" s="303"/>
      <c r="K258" s="189"/>
      <c r="L258" s="189"/>
      <c r="M258" s="189"/>
      <c r="N258" s="189"/>
    </row>
    <row r="259" spans="1:14" x14ac:dyDescent="0.2">
      <c r="A259" s="189"/>
      <c r="B259" s="183">
        <v>0.3</v>
      </c>
      <c r="C259" s="271" t="s">
        <v>22</v>
      </c>
      <c r="D259" s="183">
        <v>0.3</v>
      </c>
      <c r="E259" s="271" t="s">
        <v>22</v>
      </c>
      <c r="F259" s="183">
        <v>0.6</v>
      </c>
      <c r="G259" s="271" t="s">
        <v>22</v>
      </c>
      <c r="H259" s="183">
        <f>F231</f>
        <v>6</v>
      </c>
      <c r="I259" s="271" t="s">
        <v>23</v>
      </c>
      <c r="J259" s="183">
        <f>ROUND((B259*D259*F259*H259),2)</f>
        <v>0.32</v>
      </c>
      <c r="K259" s="189" t="str">
        <f>G242</f>
        <v>Balanço</v>
      </c>
      <c r="L259" s="189"/>
      <c r="M259" s="189"/>
      <c r="N259" s="189"/>
    </row>
    <row r="260" spans="1:14" x14ac:dyDescent="0.2">
      <c r="A260" s="189"/>
      <c r="B260" s="301"/>
      <c r="C260" s="302"/>
      <c r="D260" s="302"/>
      <c r="E260" s="302"/>
      <c r="F260" s="302"/>
      <c r="G260" s="302"/>
      <c r="H260" s="302"/>
      <c r="I260" s="302"/>
      <c r="J260" s="303"/>
      <c r="K260" s="189"/>
      <c r="L260" s="189"/>
      <c r="M260" s="189"/>
      <c r="N260" s="189"/>
    </row>
    <row r="261" spans="1:14" x14ac:dyDescent="0.2">
      <c r="A261" s="189"/>
      <c r="B261" s="183">
        <v>0.15</v>
      </c>
      <c r="C261" s="271" t="s">
        <v>22</v>
      </c>
      <c r="D261" s="183">
        <v>0.15</v>
      </c>
      <c r="E261" s="271" t="s">
        <v>22</v>
      </c>
      <c r="F261" s="183">
        <f>D233</f>
        <v>0.7</v>
      </c>
      <c r="G261" s="271" t="s">
        <v>22</v>
      </c>
      <c r="H261" s="183">
        <f>F233</f>
        <v>4</v>
      </c>
      <c r="I261" s="271" t="s">
        <v>23</v>
      </c>
      <c r="J261" s="183">
        <f>ROUND((B261*D261*F261*H261),2)</f>
        <v>0.06</v>
      </c>
      <c r="K261" s="189" t="str">
        <f>I233</f>
        <v>Escada horizontal</v>
      </c>
      <c r="L261" s="189"/>
      <c r="M261" s="189"/>
      <c r="N261" s="189"/>
    </row>
    <row r="262" spans="1:14" x14ac:dyDescent="0.2">
      <c r="A262" s="189"/>
      <c r="B262" s="301"/>
      <c r="C262" s="302"/>
      <c r="D262" s="302"/>
      <c r="E262" s="302"/>
      <c r="F262" s="302"/>
      <c r="G262" s="302"/>
      <c r="H262" s="302"/>
      <c r="I262" s="302"/>
      <c r="J262" s="303"/>
      <c r="K262" s="189"/>
      <c r="L262" s="189"/>
      <c r="M262" s="189"/>
      <c r="N262" s="189"/>
    </row>
    <row r="263" spans="1:14" x14ac:dyDescent="0.2">
      <c r="A263" s="189"/>
      <c r="B263" s="183">
        <v>0.35</v>
      </c>
      <c r="C263" s="271" t="s">
        <v>22</v>
      </c>
      <c r="D263" s="183">
        <v>0.35</v>
      </c>
      <c r="E263" s="271" t="s">
        <v>22</v>
      </c>
      <c r="F263" s="183">
        <f>D235</f>
        <v>0.43</v>
      </c>
      <c r="G263" s="271" t="s">
        <v>22</v>
      </c>
      <c r="H263" s="183">
        <f>F235</f>
        <v>16</v>
      </c>
      <c r="I263" s="271" t="s">
        <v>23</v>
      </c>
      <c r="J263" s="183">
        <f>ROUND((B263*D263*F263*H263),2)</f>
        <v>0.84</v>
      </c>
      <c r="K263" s="189" t="str">
        <f>I235</f>
        <v>Casinha</v>
      </c>
      <c r="L263" s="189"/>
      <c r="M263" s="189"/>
      <c r="N263" s="189"/>
    </row>
    <row r="264" spans="1:14" x14ac:dyDescent="0.2">
      <c r="A264" s="189"/>
      <c r="B264" s="183">
        <v>0.35</v>
      </c>
      <c r="C264" s="271" t="s">
        <v>22</v>
      </c>
      <c r="D264" s="183">
        <v>0.35</v>
      </c>
      <c r="E264" s="271" t="s">
        <v>22</v>
      </c>
      <c r="F264" s="183">
        <f>D236</f>
        <v>0.43</v>
      </c>
      <c r="G264" s="271" t="s">
        <v>22</v>
      </c>
      <c r="H264" s="183">
        <f>F236</f>
        <v>4</v>
      </c>
      <c r="I264" s="271" t="s">
        <v>23</v>
      </c>
      <c r="J264" s="183">
        <f>ROUND((B264*D264*F264*H264),2)</f>
        <v>0.21</v>
      </c>
      <c r="K264" s="189" t="str">
        <f>I236</f>
        <v>Casinha - escada</v>
      </c>
      <c r="L264" s="189"/>
      <c r="M264" s="189"/>
      <c r="N264" s="189"/>
    </row>
    <row r="265" spans="1:14" x14ac:dyDescent="0.2">
      <c r="A265" s="189"/>
      <c r="B265" s="183">
        <v>0.35</v>
      </c>
      <c r="C265" s="271" t="s">
        <v>22</v>
      </c>
      <c r="D265" s="183">
        <v>0.35</v>
      </c>
      <c r="E265" s="271" t="s">
        <v>22</v>
      </c>
      <c r="F265" s="183">
        <f>D237</f>
        <v>0.43</v>
      </c>
      <c r="G265" s="271" t="s">
        <v>22</v>
      </c>
      <c r="H265" s="183">
        <f>F237</f>
        <v>2</v>
      </c>
      <c r="I265" s="271" t="s">
        <v>23</v>
      </c>
      <c r="J265" s="183">
        <f>ROUND((B265*D265*F265*H265),2)</f>
        <v>0.11</v>
      </c>
      <c r="K265" s="189" t="str">
        <f>I237</f>
        <v>Casinha - escorregador</v>
      </c>
      <c r="L265" s="189"/>
      <c r="M265" s="189"/>
      <c r="N265" s="189"/>
    </row>
    <row r="266" spans="1:14" x14ac:dyDescent="0.2">
      <c r="A266" s="189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</row>
    <row r="267" spans="1:14" x14ac:dyDescent="0.2">
      <c r="A267" s="189"/>
      <c r="B267" s="189"/>
      <c r="C267" s="189"/>
      <c r="D267" s="304" t="s">
        <v>680</v>
      </c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</row>
    <row r="268" spans="1:14" x14ac:dyDescent="0.2">
      <c r="A268" s="189"/>
      <c r="B268" s="271" t="s">
        <v>671</v>
      </c>
      <c r="C268" s="271"/>
      <c r="D268" s="271" t="s">
        <v>675</v>
      </c>
      <c r="E268" s="271"/>
      <c r="F268" s="271" t="s">
        <v>154</v>
      </c>
      <c r="G268" s="189"/>
      <c r="H268" s="189"/>
      <c r="I268" s="189"/>
      <c r="J268" s="189"/>
      <c r="K268" s="189"/>
      <c r="L268" s="189"/>
      <c r="M268" s="189"/>
      <c r="N268" s="189"/>
    </row>
    <row r="269" spans="1:14" x14ac:dyDescent="0.2">
      <c r="A269" s="189"/>
      <c r="B269" s="183">
        <f>J255</f>
        <v>0.05</v>
      </c>
      <c r="C269" s="271" t="s">
        <v>22</v>
      </c>
      <c r="D269" s="183">
        <f>C131</f>
        <v>1</v>
      </c>
      <c r="E269" s="271" t="s">
        <v>23</v>
      </c>
      <c r="F269" s="183">
        <f>ROUND((B269*D269),2)</f>
        <v>0.05</v>
      </c>
      <c r="G269" s="189" t="str">
        <f>K255</f>
        <v>Carrossel</v>
      </c>
      <c r="H269" s="189"/>
      <c r="I269" s="189"/>
      <c r="J269" s="189"/>
      <c r="K269" s="189"/>
      <c r="L269" s="189"/>
      <c r="M269" s="189"/>
      <c r="N269" s="189"/>
    </row>
    <row r="270" spans="1:14" x14ac:dyDescent="0.2">
      <c r="A270" s="189"/>
      <c r="B270" s="183">
        <f>J257</f>
        <v>0.13</v>
      </c>
      <c r="C270" s="271" t="s">
        <v>22</v>
      </c>
      <c r="D270" s="183">
        <f>C135</f>
        <v>1</v>
      </c>
      <c r="E270" s="271" t="s">
        <v>23</v>
      </c>
      <c r="F270" s="183">
        <f>ROUND((B270*D270),2)</f>
        <v>0.13</v>
      </c>
      <c r="G270" s="189" t="str">
        <f>K257</f>
        <v>Gangorra dupla</v>
      </c>
      <c r="H270" s="189"/>
      <c r="I270" s="189"/>
      <c r="J270" s="189"/>
      <c r="K270" s="189"/>
      <c r="L270" s="189"/>
      <c r="M270" s="189"/>
      <c r="N270" s="189"/>
    </row>
    <row r="271" spans="1:14" x14ac:dyDescent="0.2">
      <c r="A271" s="189"/>
      <c r="B271" s="183">
        <f>J259</f>
        <v>0.32</v>
      </c>
      <c r="C271" s="271" t="s">
        <v>22</v>
      </c>
      <c r="D271" s="183">
        <v>1</v>
      </c>
      <c r="E271" s="271" t="s">
        <v>23</v>
      </c>
      <c r="F271" s="183">
        <f>ROUND((B271*D271),2)</f>
        <v>0.32</v>
      </c>
      <c r="G271" s="189" t="str">
        <f>K259</f>
        <v>Balanço</v>
      </c>
      <c r="H271" s="189"/>
      <c r="I271" s="189"/>
      <c r="J271" s="189"/>
      <c r="K271" s="189"/>
      <c r="L271" s="189"/>
      <c r="M271" s="189"/>
      <c r="N271" s="189"/>
    </row>
    <row r="272" spans="1:14" x14ac:dyDescent="0.2">
      <c r="A272" s="189"/>
      <c r="B272" s="183">
        <f>J261</f>
        <v>0.06</v>
      </c>
      <c r="C272" s="271" t="s">
        <v>22</v>
      </c>
      <c r="D272" s="183">
        <v>1</v>
      </c>
      <c r="E272" s="271" t="s">
        <v>23</v>
      </c>
      <c r="F272" s="183">
        <f>ROUND((B272*D272),2)</f>
        <v>0.06</v>
      </c>
      <c r="G272" s="189" t="str">
        <f>K261</f>
        <v>Escada horizontal</v>
      </c>
      <c r="H272" s="189"/>
      <c r="I272" s="189"/>
      <c r="J272" s="189"/>
      <c r="K272" s="189"/>
      <c r="L272" s="189"/>
      <c r="M272" s="189"/>
      <c r="N272" s="189"/>
    </row>
    <row r="273" spans="1:14" x14ac:dyDescent="0.2">
      <c r="A273" s="189"/>
      <c r="B273" s="183">
        <f>ROUND(SUM(J263:J265),2)</f>
        <v>1.1599999999999999</v>
      </c>
      <c r="C273" s="271" t="s">
        <v>22</v>
      </c>
      <c r="D273" s="183">
        <f>D244</f>
        <v>1</v>
      </c>
      <c r="E273" s="271" t="s">
        <v>23</v>
      </c>
      <c r="F273" s="183">
        <f>ROUND((B273*D273),2)</f>
        <v>1.1599999999999999</v>
      </c>
      <c r="G273" s="189" t="str">
        <f>K263</f>
        <v>Casinha</v>
      </c>
      <c r="H273" s="189"/>
      <c r="I273" s="189"/>
      <c r="J273" s="189"/>
      <c r="K273" s="189"/>
      <c r="L273" s="189"/>
      <c r="M273" s="189"/>
      <c r="N273" s="189"/>
    </row>
    <row r="274" spans="1:14" ht="15" x14ac:dyDescent="0.2">
      <c r="A274" s="189"/>
      <c r="B274" s="277"/>
      <c r="C274" s="278"/>
      <c r="D274" s="279"/>
      <c r="E274" s="271" t="s">
        <v>657</v>
      </c>
      <c r="F274" s="285">
        <f>ROUND(SUM(F269:F273),2)</f>
        <v>1.72</v>
      </c>
      <c r="G274" s="189"/>
      <c r="H274" s="189"/>
      <c r="I274" s="189"/>
      <c r="J274" s="189"/>
      <c r="K274" s="189"/>
      <c r="L274" s="189"/>
      <c r="M274" s="189"/>
      <c r="N274" s="189"/>
    </row>
    <row r="275" spans="1:14" x14ac:dyDescent="0.2">
      <c r="A275" s="189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</row>
    <row r="276" spans="1:14" x14ac:dyDescent="0.2">
      <c r="A276" s="189"/>
      <c r="B276" s="200" t="s">
        <v>673</v>
      </c>
      <c r="C276" s="201">
        <f>F274</f>
        <v>1.72</v>
      </c>
      <c r="D276" s="202" t="s">
        <v>5</v>
      </c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</row>
    <row r="277" spans="1:14" x14ac:dyDescent="0.2">
      <c r="A277" s="189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</row>
  </sheetData>
  <mergeCells count="42">
    <mergeCell ref="B70:F70"/>
    <mergeCell ref="B72:D72"/>
    <mergeCell ref="B74:F74"/>
    <mergeCell ref="B222:N222"/>
    <mergeCell ref="B119:N119"/>
    <mergeCell ref="B121:H121"/>
    <mergeCell ref="B91:F91"/>
    <mergeCell ref="B97:N97"/>
    <mergeCell ref="B98:N98"/>
    <mergeCell ref="B111:N111"/>
    <mergeCell ref="B151:N151"/>
    <mergeCell ref="B79:F79"/>
    <mergeCell ref="H157:N161"/>
    <mergeCell ref="B43:N43"/>
    <mergeCell ref="B51:N51"/>
    <mergeCell ref="B52:L52"/>
    <mergeCell ref="A1:N1"/>
    <mergeCell ref="J7:N7"/>
    <mergeCell ref="J8:N8"/>
    <mergeCell ref="H7:I8"/>
    <mergeCell ref="C7:G7"/>
    <mergeCell ref="C8:G8"/>
    <mergeCell ref="C6:N6"/>
    <mergeCell ref="C5:N5"/>
    <mergeCell ref="M4:N4"/>
    <mergeCell ref="K4:L4"/>
    <mergeCell ref="C4:J4"/>
    <mergeCell ref="A5:B5"/>
    <mergeCell ref="A10:M10"/>
    <mergeCell ref="B35:N35"/>
    <mergeCell ref="A13:N13"/>
    <mergeCell ref="A11:N11"/>
    <mergeCell ref="A9:B9"/>
    <mergeCell ref="J9:N9"/>
    <mergeCell ref="H9:I9"/>
    <mergeCell ref="C9:G9"/>
    <mergeCell ref="A2:M2"/>
    <mergeCell ref="A3:M3"/>
    <mergeCell ref="A6:B6"/>
    <mergeCell ref="A7:B7"/>
    <mergeCell ref="A8:B8"/>
    <mergeCell ref="A4:B4"/>
  </mergeCells>
  <pageMargins left="0.72" right="0.36" top="0.47" bottom="0.49" header="0.31496062992125984" footer="0.12"/>
  <pageSetup paperSize="9" scale="54" fitToHeight="0" orientation="portrait" r:id="rId1"/>
  <rowBreaks count="2" manualBreakCount="2">
    <brk id="148" max="13" man="1"/>
    <brk id="220" max="1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A1:O330"/>
  <sheetViews>
    <sheetView view="pageBreakPreview" topLeftCell="A2" zoomScale="85" zoomScaleNormal="100" zoomScaleSheetLayoutView="85" workbookViewId="0">
      <selection activeCell="M16" sqref="M16"/>
    </sheetView>
  </sheetViews>
  <sheetFormatPr defaultColWidth="9.140625" defaultRowHeight="14.25" x14ac:dyDescent="0.2"/>
  <cols>
    <col min="1" max="1" width="23.140625" style="209" customWidth="1"/>
    <col min="2" max="2" width="19.42578125" style="225" customWidth="1"/>
    <col min="3" max="3" width="18.140625" style="225" customWidth="1"/>
    <col min="4" max="4" width="13.85546875" style="225" customWidth="1"/>
    <col min="5" max="5" width="13.7109375" style="225" customWidth="1"/>
    <col min="6" max="7" width="14.85546875" style="225" customWidth="1"/>
    <col min="8" max="8" width="12.85546875" style="225" customWidth="1"/>
    <col min="9" max="9" width="11.7109375" style="225" customWidth="1"/>
    <col min="10" max="10" width="12.140625" style="225" customWidth="1"/>
    <col min="11" max="11" width="12.5703125" style="225" customWidth="1"/>
    <col min="12" max="12" width="9.140625" style="225"/>
    <col min="13" max="16384" width="9.140625" style="179"/>
  </cols>
  <sheetData>
    <row r="1" spans="1:15" customFormat="1" ht="99.75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237"/>
      <c r="N1" s="237"/>
      <c r="O1" s="237"/>
    </row>
    <row r="2" spans="1:15" customFormat="1" ht="21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</row>
    <row r="3" spans="1:15" customFormat="1" ht="1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</row>
    <row r="4" spans="1:15" s="237" customFormat="1" ht="33.75" customHeight="1" x14ac:dyDescent="0.25">
      <c r="A4" s="487" t="s">
        <v>33</v>
      </c>
      <c r="B4" s="1110" t="str">
        <f>COMPOSIÇÕES!B4</f>
        <v>PREFEITURA MUNICIPAL DE BRASIL NOVO/PA</v>
      </c>
      <c r="C4" s="1110"/>
      <c r="D4" s="1110"/>
      <c r="E4" s="1110"/>
      <c r="F4" s="1110"/>
      <c r="G4" s="1110"/>
      <c r="H4" s="1121"/>
      <c r="I4" s="1218" t="s">
        <v>859</v>
      </c>
      <c r="J4" s="1219"/>
      <c r="K4" s="1227" t="str">
        <f>ORÇAMENTO!J4</f>
        <v>BRASIL NOVO/PA</v>
      </c>
      <c r="L4" s="1227"/>
    </row>
    <row r="5" spans="1:15" s="237" customFormat="1" ht="22.5" customHeight="1" x14ac:dyDescent="0.25">
      <c r="A5" s="487" t="s">
        <v>860</v>
      </c>
      <c r="B5" s="1110" t="str">
        <f>COMPOSIÇÕES!B5</f>
        <v>CONSTRUÇÃO DE PRAÇA NO MUNICÍPIO DE BRASIL NOVO - PARÁ</v>
      </c>
      <c r="C5" s="1110"/>
      <c r="D5" s="1110"/>
      <c r="E5" s="1110"/>
      <c r="F5" s="1110"/>
      <c r="G5" s="1110"/>
      <c r="H5" s="1110"/>
      <c r="I5" s="1110"/>
      <c r="J5" s="1110"/>
      <c r="K5" s="1110"/>
      <c r="L5" s="1121"/>
      <c r="M5" s="226"/>
      <c r="N5" s="226"/>
    </row>
    <row r="6" spans="1:15" s="237" customFormat="1" ht="24" customHeight="1" x14ac:dyDescent="0.25">
      <c r="A6" s="487" t="s">
        <v>861</v>
      </c>
      <c r="B6" s="977" t="str">
        <f>ORÇAMENTO!B6</f>
        <v>AVENIDA TRANSAMAZÔNICA S/N, BRASIL NOVO/PA</v>
      </c>
      <c r="C6" s="977"/>
      <c r="D6" s="977"/>
      <c r="E6" s="977"/>
      <c r="F6" s="977"/>
      <c r="G6" s="977"/>
      <c r="H6" s="977"/>
      <c r="I6" s="977"/>
      <c r="J6" s="977"/>
      <c r="K6" s="977"/>
      <c r="L6" s="978"/>
      <c r="M6" s="226"/>
      <c r="N6" s="226"/>
    </row>
    <row r="7" spans="1:15" s="237" customFormat="1" ht="19.5" customHeight="1" x14ac:dyDescent="0.25">
      <c r="A7" s="425" t="s">
        <v>80</v>
      </c>
      <c r="B7" s="1228">
        <f>ORÇAMENTO!B7</f>
        <v>0.29769428939090381</v>
      </c>
      <c r="C7" s="1228"/>
      <c r="D7" s="1228"/>
      <c r="E7" s="1228"/>
      <c r="F7" s="1123"/>
      <c r="G7" s="1150" t="s">
        <v>34</v>
      </c>
      <c r="H7" s="1151"/>
      <c r="I7" s="1112" t="str">
        <f>ORÇAMENTO!H7</f>
        <v>SINAPI FEVEREIRO 2022 - DESONERADA</v>
      </c>
      <c r="J7" s="1113"/>
      <c r="K7" s="1113"/>
      <c r="L7" s="1223"/>
      <c r="M7" s="227"/>
      <c r="N7" s="227"/>
    </row>
    <row r="8" spans="1:15" s="237" customFormat="1" ht="20.25" customHeight="1" x14ac:dyDescent="0.25">
      <c r="A8" s="487" t="s">
        <v>863</v>
      </c>
      <c r="B8" s="1110" t="str">
        <f>ORÇAMENTO!B8</f>
        <v>06 meses</v>
      </c>
      <c r="C8" s="1110"/>
      <c r="D8" s="1110"/>
      <c r="E8" s="1110"/>
      <c r="F8" s="1121"/>
      <c r="G8" s="1118"/>
      <c r="H8" s="1119"/>
      <c r="I8" s="1220" t="str">
        <f>ORÇAMENTO!H8</f>
        <v>SEDOP FEVEREIRO 2022 - DESONERADA</v>
      </c>
      <c r="J8" s="1221"/>
      <c r="K8" s="1221"/>
      <c r="L8" s="1222"/>
      <c r="M8" s="262"/>
      <c r="N8" s="262"/>
    </row>
    <row r="9" spans="1:15" s="237" customFormat="1" ht="23.25" customHeight="1" x14ac:dyDescent="0.25">
      <c r="A9" s="487" t="s">
        <v>865</v>
      </c>
      <c r="B9" s="1146">
        <f>ORÇAMENTO!B9</f>
        <v>1202969.1098858207</v>
      </c>
      <c r="C9" s="1146"/>
      <c r="D9" s="1146"/>
      <c r="E9" s="1146"/>
      <c r="F9" s="1125"/>
      <c r="G9" s="1103" t="s">
        <v>864</v>
      </c>
      <c r="H9" s="1104"/>
      <c r="I9" s="1101">
        <f>ORÇAMENTO!H9</f>
        <v>44749</v>
      </c>
      <c r="J9" s="1102"/>
      <c r="K9" s="1102"/>
      <c r="L9" s="1224"/>
      <c r="M9" s="262"/>
      <c r="N9" s="262"/>
    </row>
    <row r="10" spans="1:15" s="237" customFormat="1" ht="15.75" thickBot="1" x14ac:dyDescent="0.3">
      <c r="A10" s="1138"/>
      <c r="B10" s="1139"/>
      <c r="C10" s="1139"/>
      <c r="D10" s="1139"/>
      <c r="E10" s="1139"/>
      <c r="F10" s="1139"/>
      <c r="G10" s="1139"/>
      <c r="H10" s="1139"/>
      <c r="I10" s="1191"/>
      <c r="J10" s="1191"/>
      <c r="K10" s="1191"/>
      <c r="L10" s="262"/>
      <c r="M10" s="262"/>
      <c r="N10" s="262"/>
    </row>
    <row r="11" spans="1:15" s="237" customFormat="1" ht="15.75" customHeight="1" thickBot="1" x14ac:dyDescent="0.3">
      <c r="A11" s="1140" t="s">
        <v>873</v>
      </c>
      <c r="B11" s="1141"/>
      <c r="C11" s="1141"/>
      <c r="D11" s="1141"/>
      <c r="E11" s="1141"/>
      <c r="F11" s="1141"/>
      <c r="G11" s="1141"/>
      <c r="H11" s="1141"/>
      <c r="I11" s="1141"/>
      <c r="J11" s="1141"/>
      <c r="K11" s="1141"/>
      <c r="L11" s="1142"/>
      <c r="M11" s="262"/>
      <c r="N11" s="262"/>
    </row>
    <row r="12" spans="1:15" s="237" customFormat="1" ht="8.25" customHeight="1" thickBot="1" x14ac:dyDescent="0.3">
      <c r="A12" s="484"/>
      <c r="B12" s="478"/>
      <c r="C12" s="478"/>
      <c r="D12" s="478"/>
      <c r="E12" s="478"/>
      <c r="F12" s="478"/>
      <c r="G12" s="478"/>
      <c r="H12" s="478"/>
      <c r="I12" s="478"/>
      <c r="J12" s="478"/>
      <c r="K12" s="478"/>
      <c r="L12" s="262"/>
      <c r="M12" s="262"/>
      <c r="N12" s="262"/>
    </row>
    <row r="13" spans="1:15" s="237" customFormat="1" ht="15.75" thickBot="1" x14ac:dyDescent="0.3">
      <c r="A13" s="1172" t="str">
        <f>ORÇAMENTO!D80</f>
        <v>FONTE INTERATIVA E MONUMENTO</v>
      </c>
      <c r="B13" s="1225"/>
      <c r="C13" s="1225"/>
      <c r="D13" s="1225"/>
      <c r="E13" s="1225"/>
      <c r="F13" s="1225"/>
      <c r="G13" s="1225"/>
      <c r="H13" s="1225"/>
      <c r="I13" s="1225"/>
      <c r="J13" s="1225"/>
      <c r="K13" s="1225"/>
      <c r="L13" s="1226"/>
      <c r="M13" s="262"/>
      <c r="N13" s="262"/>
    </row>
    <row r="14" spans="1:15" s="225" customFormat="1" ht="15" customHeight="1" x14ac:dyDescent="0.2">
      <c r="A14" s="538"/>
      <c r="B14" s="538"/>
      <c r="C14" s="538"/>
      <c r="D14" s="538"/>
      <c r="E14" s="177"/>
      <c r="F14" s="538"/>
      <c r="G14" s="538"/>
      <c r="H14" s="189"/>
      <c r="I14" s="189"/>
      <c r="J14" s="538"/>
      <c r="K14" s="538"/>
      <c r="L14" s="282"/>
      <c r="M14" s="305"/>
      <c r="N14" s="305"/>
    </row>
    <row r="15" spans="1:15" s="225" customFormat="1" ht="15" customHeight="1" x14ac:dyDescent="0.2">
      <c r="A15" s="539">
        <f>ORÇAMENTO!A80</f>
        <v>7</v>
      </c>
      <c r="B15" s="350" t="str">
        <f>ORÇAMENTO!D80</f>
        <v>FONTE INTERATIVA E MONUMENTO</v>
      </c>
      <c r="C15" s="540"/>
      <c r="D15" s="540"/>
      <c r="E15" s="540"/>
      <c r="F15" s="540"/>
      <c r="G15" s="540"/>
      <c r="H15" s="540"/>
      <c r="I15" s="540"/>
      <c r="J15" s="540"/>
      <c r="K15" s="540"/>
      <c r="L15" s="540"/>
    </row>
    <row r="16" spans="1:15" s="225" customFormat="1" ht="15" customHeight="1" x14ac:dyDescent="0.2">
      <c r="A16" s="540"/>
      <c r="B16" s="315"/>
      <c r="C16" s="540"/>
      <c r="D16" s="540"/>
      <c r="E16" s="540"/>
      <c r="F16" s="540"/>
      <c r="G16" s="540"/>
      <c r="H16" s="540"/>
      <c r="I16" s="540"/>
      <c r="J16" s="540"/>
      <c r="K16" s="540"/>
      <c r="L16" s="540"/>
    </row>
    <row r="17" spans="1:12" ht="13.5" customHeight="1" x14ac:dyDescent="0.2">
      <c r="A17" s="181" t="str">
        <f>ORÇAMENTO!A81</f>
        <v>7.1</v>
      </c>
      <c r="B17" s="541" t="str">
        <f>ORÇAMENTO!D81</f>
        <v>CASA DE BOMBA, CISTERNA E CASA DO FILTRO</v>
      </c>
      <c r="C17" s="541"/>
      <c r="D17" s="541"/>
      <c r="E17" s="541"/>
      <c r="F17" s="541"/>
      <c r="G17" s="541"/>
      <c r="H17" s="541"/>
      <c r="I17" s="541"/>
      <c r="J17" s="541"/>
      <c r="K17" s="541"/>
      <c r="L17" s="541"/>
    </row>
    <row r="18" spans="1:12" ht="13.5" customHeight="1" x14ac:dyDescent="0.2">
      <c r="A18" s="181"/>
      <c r="B18" s="541"/>
      <c r="C18" s="541"/>
      <c r="D18" s="541"/>
      <c r="E18" s="541"/>
      <c r="F18" s="541"/>
      <c r="G18" s="541"/>
      <c r="H18" s="541"/>
      <c r="I18" s="541"/>
      <c r="J18" s="541"/>
      <c r="K18" s="541"/>
      <c r="L18" s="541"/>
    </row>
    <row r="19" spans="1:12" ht="13.5" customHeight="1" x14ac:dyDescent="0.2">
      <c r="A19" s="181"/>
      <c r="B19" s="542" t="str">
        <f>ORÇAMENTO!D82</f>
        <v>INFRAESTRUTURA</v>
      </c>
      <c r="C19" s="542"/>
      <c r="D19" s="542"/>
      <c r="E19" s="542"/>
      <c r="F19" s="542"/>
      <c r="G19" s="542"/>
      <c r="H19" s="542"/>
      <c r="I19" s="542"/>
      <c r="J19" s="542"/>
      <c r="K19" s="542"/>
      <c r="L19" s="542"/>
    </row>
    <row r="20" spans="1:12" ht="13.5" customHeight="1" x14ac:dyDescent="0.2">
      <c r="A20" s="181"/>
      <c r="B20" s="543"/>
      <c r="C20" s="543"/>
      <c r="D20" s="543"/>
      <c r="E20" s="543"/>
      <c r="F20" s="543"/>
      <c r="G20" s="543"/>
      <c r="H20" s="543"/>
      <c r="I20" s="543"/>
      <c r="J20" s="543"/>
      <c r="K20" s="543"/>
      <c r="L20" s="543"/>
    </row>
    <row r="21" spans="1:12" ht="13.5" customHeight="1" x14ac:dyDescent="0.2">
      <c r="A21" s="181" t="str">
        <f>ORÇAMENTO!A83</f>
        <v>7.1.1.1</v>
      </c>
      <c r="B21" s="541" t="str">
        <f>ORÇAMENTO!D83</f>
        <v>Escavação manual ate 1.50m de profundidade</v>
      </c>
      <c r="C21" s="541"/>
      <c r="D21" s="541"/>
      <c r="E21" s="541"/>
      <c r="F21" s="541"/>
      <c r="G21" s="541"/>
      <c r="H21" s="541"/>
      <c r="I21" s="541"/>
      <c r="J21" s="541"/>
      <c r="K21" s="541"/>
      <c r="L21" s="541"/>
    </row>
    <row r="22" spans="1:12" ht="13.5" customHeight="1" x14ac:dyDescent="0.2">
      <c r="A22" s="181"/>
      <c r="B22" s="1240"/>
      <c r="C22" s="1240"/>
      <c r="D22" s="1240"/>
      <c r="E22" s="1240"/>
      <c r="F22" s="1240"/>
      <c r="G22" s="1240"/>
      <c r="H22" s="1240"/>
      <c r="I22" s="1240"/>
      <c r="J22" s="1240"/>
      <c r="K22" s="1240"/>
      <c r="L22" s="1240"/>
    </row>
    <row r="23" spans="1:12" s="225" customFormat="1" x14ac:dyDescent="0.2">
      <c r="A23" s="191"/>
      <c r="B23" s="189"/>
      <c r="C23" s="272" t="s">
        <v>538</v>
      </c>
      <c r="D23" s="272"/>
      <c r="E23" s="272"/>
      <c r="F23" s="272"/>
      <c r="G23" s="272"/>
      <c r="H23" s="544"/>
      <c r="I23" s="272"/>
      <c r="J23" s="189"/>
      <c r="K23" s="189"/>
      <c r="L23" s="189"/>
    </row>
    <row r="24" spans="1:12" s="225" customFormat="1" x14ac:dyDescent="0.2">
      <c r="A24" s="191"/>
      <c r="B24" s="189"/>
      <c r="C24" s="281" t="s">
        <v>106</v>
      </c>
      <c r="D24" s="281"/>
      <c r="E24" s="281" t="s">
        <v>152</v>
      </c>
      <c r="F24" s="281"/>
      <c r="G24" s="281" t="s">
        <v>98</v>
      </c>
      <c r="H24" s="281"/>
      <c r="I24" s="281" t="s">
        <v>154</v>
      </c>
      <c r="J24" s="189"/>
      <c r="K24" s="189"/>
      <c r="L24" s="189"/>
    </row>
    <row r="25" spans="1:12" s="225" customFormat="1" x14ac:dyDescent="0.2">
      <c r="A25" s="545"/>
      <c r="B25" s="546" t="s">
        <v>539</v>
      </c>
      <c r="C25" s="219">
        <f>2.2+0.2</f>
        <v>2.4000000000000004</v>
      </c>
      <c r="D25" s="219" t="s">
        <v>22</v>
      </c>
      <c r="E25" s="219">
        <f>1.7+0.2</f>
        <v>1.9</v>
      </c>
      <c r="F25" s="219" t="s">
        <v>22</v>
      </c>
      <c r="G25" s="219">
        <v>2.25</v>
      </c>
      <c r="H25" s="219" t="s">
        <v>23</v>
      </c>
      <c r="I25" s="219">
        <f>ROUND((C25*E25*G25),2)</f>
        <v>10.26</v>
      </c>
      <c r="J25" s="189"/>
      <c r="K25" s="189"/>
      <c r="L25" s="189"/>
    </row>
    <row r="26" spans="1:12" s="225" customFormat="1" x14ac:dyDescent="0.2">
      <c r="A26" s="545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</row>
    <row r="27" spans="1:12" s="225" customFormat="1" x14ac:dyDescent="0.2">
      <c r="A27" s="191"/>
      <c r="B27" s="546" t="s">
        <v>540</v>
      </c>
      <c r="C27" s="219">
        <f>1.7+0.2</f>
        <v>1.9</v>
      </c>
      <c r="D27" s="219" t="s">
        <v>22</v>
      </c>
      <c r="E27" s="219">
        <f>1+0.2</f>
        <v>1.2</v>
      </c>
      <c r="F27" s="219" t="s">
        <v>22</v>
      </c>
      <c r="G27" s="219">
        <v>1</v>
      </c>
      <c r="H27" s="219" t="s">
        <v>23</v>
      </c>
      <c r="I27" s="219">
        <f>ROUND((C27*E27*G27),2)</f>
        <v>2.2799999999999998</v>
      </c>
      <c r="J27" s="189"/>
      <c r="K27" s="189"/>
      <c r="L27" s="189"/>
    </row>
    <row r="28" spans="1:12" s="225" customFormat="1" x14ac:dyDescent="0.2">
      <c r="A28" s="191"/>
      <c r="B28" s="546" t="s">
        <v>541</v>
      </c>
      <c r="C28" s="219">
        <f>1.7+0.2</f>
        <v>1.9</v>
      </c>
      <c r="D28" s="219" t="s">
        <v>22</v>
      </c>
      <c r="E28" s="219">
        <f>1+0.2</f>
        <v>1.2</v>
      </c>
      <c r="F28" s="219" t="s">
        <v>22</v>
      </c>
      <c r="G28" s="219">
        <v>1</v>
      </c>
      <c r="H28" s="219" t="s">
        <v>23</v>
      </c>
      <c r="I28" s="219">
        <f>ROUND((C28*E28*G28),2)</f>
        <v>2.2799999999999998</v>
      </c>
      <c r="J28" s="189"/>
      <c r="K28" s="189"/>
      <c r="L28" s="189"/>
    </row>
    <row r="29" spans="1:12" s="225" customFormat="1" x14ac:dyDescent="0.2">
      <c r="A29" s="191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</row>
    <row r="30" spans="1:12" s="225" customFormat="1" x14ac:dyDescent="0.2">
      <c r="A30" s="191"/>
      <c r="B30" s="546" t="s">
        <v>542</v>
      </c>
      <c r="C30" s="219">
        <f>2+0.2</f>
        <v>2.2000000000000002</v>
      </c>
      <c r="D30" s="219" t="s">
        <v>22</v>
      </c>
      <c r="E30" s="219">
        <f>2+0.2</f>
        <v>2.2000000000000002</v>
      </c>
      <c r="F30" s="219" t="s">
        <v>22</v>
      </c>
      <c r="G30" s="219">
        <v>1.85</v>
      </c>
      <c r="H30" s="219" t="s">
        <v>23</v>
      </c>
      <c r="I30" s="219">
        <f>ROUND((C30*E30*G30),2)</f>
        <v>8.9499999999999993</v>
      </c>
      <c r="J30" s="189"/>
      <c r="K30" s="189"/>
      <c r="L30" s="189"/>
    </row>
    <row r="31" spans="1:12" s="225" customFormat="1" x14ac:dyDescent="0.2">
      <c r="A31" s="191"/>
      <c r="B31" s="547"/>
      <c r="C31" s="548"/>
      <c r="D31" s="549"/>
      <c r="E31" s="193"/>
      <c r="F31" s="193"/>
      <c r="G31" s="193"/>
      <c r="H31" s="193"/>
      <c r="I31" s="193"/>
      <c r="J31" s="189"/>
      <c r="K31" s="189"/>
      <c r="L31" s="189"/>
    </row>
    <row r="32" spans="1:12" s="225" customFormat="1" x14ac:dyDescent="0.2">
      <c r="A32" s="191"/>
      <c r="B32" s="242" t="s">
        <v>144</v>
      </c>
      <c r="C32" s="243">
        <f>I25+I27+I30+I28</f>
        <v>23.77</v>
      </c>
      <c r="D32" s="244" t="s">
        <v>5</v>
      </c>
      <c r="E32" s="189"/>
      <c r="F32" s="189"/>
      <c r="G32" s="189"/>
      <c r="H32" s="189"/>
      <c r="I32" s="189"/>
      <c r="J32" s="189"/>
      <c r="K32" s="189"/>
      <c r="L32" s="189"/>
    </row>
    <row r="33" spans="1:12" s="225" customFormat="1" x14ac:dyDescent="0.2">
      <c r="A33" s="191"/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</row>
    <row r="34" spans="1:12" ht="13.5" customHeight="1" x14ac:dyDescent="0.2">
      <c r="A34" s="181" t="str">
        <f>ORÇAMENTO!A84</f>
        <v>7.1.1.2</v>
      </c>
      <c r="B34" s="541" t="str">
        <f>ORÇAMENTO!D84</f>
        <v>PREPARO DE FUNDO DE VALA COM LARGURA MAIOR OU IGUAL A 1,5 M E MENOR QUE 2,5 M (ACERTO DO SOLO NATURAL). AF_08/2020</v>
      </c>
      <c r="C34" s="541"/>
      <c r="D34" s="541"/>
      <c r="E34" s="541"/>
      <c r="F34" s="541"/>
      <c r="G34" s="541"/>
      <c r="H34" s="541"/>
      <c r="I34" s="541"/>
      <c r="J34" s="541"/>
      <c r="K34" s="541"/>
      <c r="L34" s="541"/>
    </row>
    <row r="35" spans="1:12" s="225" customFormat="1" x14ac:dyDescent="0.2">
      <c r="A35" s="191"/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</row>
    <row r="36" spans="1:12" s="225" customFormat="1" x14ac:dyDescent="0.2">
      <c r="A36" s="189"/>
      <c r="B36" s="191"/>
      <c r="C36" s="1241" t="s">
        <v>543</v>
      </c>
      <c r="D36" s="1241"/>
      <c r="E36" s="1241"/>
      <c r="F36" s="1241"/>
      <c r="G36" s="1241"/>
      <c r="H36" s="189"/>
      <c r="I36" s="189"/>
      <c r="J36" s="189"/>
      <c r="K36" s="189"/>
      <c r="L36" s="189"/>
    </row>
    <row r="37" spans="1:12" s="225" customFormat="1" x14ac:dyDescent="0.2">
      <c r="A37" s="189"/>
      <c r="B37" s="191"/>
      <c r="C37" s="219" t="s">
        <v>106</v>
      </c>
      <c r="D37" s="219"/>
      <c r="E37" s="219" t="s">
        <v>152</v>
      </c>
      <c r="F37" s="219"/>
      <c r="G37" s="219" t="s">
        <v>154</v>
      </c>
      <c r="H37" s="189"/>
      <c r="I37" s="189"/>
      <c r="J37" s="189"/>
      <c r="K37" s="189"/>
      <c r="L37" s="189"/>
    </row>
    <row r="38" spans="1:12" s="225" customFormat="1" x14ac:dyDescent="0.2">
      <c r="A38" s="189"/>
      <c r="B38" s="546" t="s">
        <v>539</v>
      </c>
      <c r="C38" s="219">
        <f>C25</f>
        <v>2.4000000000000004</v>
      </c>
      <c r="D38" s="219" t="s">
        <v>22</v>
      </c>
      <c r="E38" s="219">
        <f>E25</f>
        <v>1.9</v>
      </c>
      <c r="F38" s="219" t="s">
        <v>23</v>
      </c>
      <c r="G38" s="219">
        <f>ROUND((E38*C38),2)</f>
        <v>4.5599999999999996</v>
      </c>
      <c r="H38" s="189"/>
      <c r="I38" s="189"/>
      <c r="J38" s="189"/>
      <c r="K38" s="189"/>
      <c r="L38" s="189"/>
    </row>
    <row r="39" spans="1:12" s="225" customFormat="1" x14ac:dyDescent="0.2">
      <c r="A39" s="189"/>
      <c r="B39" s="189"/>
      <c r="C39" s="189"/>
      <c r="D39" s="189"/>
      <c r="E39" s="189"/>
      <c r="F39" s="189"/>
      <c r="G39" s="189"/>
      <c r="H39" s="189"/>
      <c r="I39" s="189"/>
      <c r="J39" s="189"/>
      <c r="K39" s="189"/>
      <c r="L39" s="189"/>
    </row>
    <row r="40" spans="1:12" s="225" customFormat="1" x14ac:dyDescent="0.2">
      <c r="A40" s="189"/>
      <c r="B40" s="546" t="s">
        <v>486</v>
      </c>
      <c r="C40" s="219">
        <f>C27</f>
        <v>1.9</v>
      </c>
      <c r="D40" s="219" t="s">
        <v>22</v>
      </c>
      <c r="E40" s="219">
        <f>E27</f>
        <v>1.2</v>
      </c>
      <c r="F40" s="219" t="s">
        <v>23</v>
      </c>
      <c r="G40" s="219">
        <f>ROUND((E40*C40),2)</f>
        <v>2.2799999999999998</v>
      </c>
      <c r="H40" s="189"/>
      <c r="I40" s="189"/>
      <c r="J40" s="189"/>
      <c r="K40" s="189"/>
      <c r="L40" s="189"/>
    </row>
    <row r="41" spans="1:12" s="225" customFormat="1" x14ac:dyDescent="0.2">
      <c r="A41" s="189"/>
      <c r="B41" s="546" t="s">
        <v>486</v>
      </c>
      <c r="C41" s="219">
        <f>C28</f>
        <v>1.9</v>
      </c>
      <c r="D41" s="219" t="s">
        <v>22</v>
      </c>
      <c r="E41" s="219">
        <f>E28</f>
        <v>1.2</v>
      </c>
      <c r="F41" s="219" t="s">
        <v>23</v>
      </c>
      <c r="G41" s="219">
        <f>ROUND((E41*C41),2)</f>
        <v>2.2799999999999998</v>
      </c>
      <c r="H41" s="189"/>
      <c r="I41" s="189"/>
      <c r="J41" s="189"/>
      <c r="K41" s="189"/>
      <c r="L41" s="189"/>
    </row>
    <row r="42" spans="1:12" x14ac:dyDescent="0.2">
      <c r="A42" s="191"/>
      <c r="B42" s="189"/>
      <c r="C42" s="189"/>
      <c r="D42" s="189"/>
      <c r="E42" s="189"/>
      <c r="F42" s="189"/>
      <c r="G42" s="189"/>
      <c r="H42" s="189"/>
      <c r="I42" s="189"/>
      <c r="J42" s="189"/>
      <c r="K42" s="189"/>
      <c r="L42" s="189"/>
    </row>
    <row r="43" spans="1:12" s="225" customFormat="1" x14ac:dyDescent="0.2">
      <c r="A43" s="189"/>
      <c r="B43" s="546" t="s">
        <v>542</v>
      </c>
      <c r="C43" s="219">
        <f>C30</f>
        <v>2.2000000000000002</v>
      </c>
      <c r="D43" s="219" t="s">
        <v>22</v>
      </c>
      <c r="E43" s="219">
        <f>E30</f>
        <v>2.2000000000000002</v>
      </c>
      <c r="F43" s="219" t="s">
        <v>23</v>
      </c>
      <c r="G43" s="219">
        <f>ROUND((E43*C43),2)</f>
        <v>4.84</v>
      </c>
      <c r="H43" s="189"/>
      <c r="I43" s="189"/>
      <c r="J43" s="189"/>
      <c r="K43" s="189"/>
      <c r="L43" s="189"/>
    </row>
    <row r="44" spans="1:12" x14ac:dyDescent="0.2">
      <c r="A44" s="191"/>
      <c r="B44" s="189"/>
      <c r="C44" s="189"/>
      <c r="D44" s="189"/>
      <c r="E44" s="189"/>
      <c r="F44" s="189"/>
      <c r="G44" s="189"/>
      <c r="H44" s="189"/>
      <c r="I44" s="189"/>
      <c r="J44" s="189"/>
      <c r="K44" s="189"/>
      <c r="L44" s="189"/>
    </row>
    <row r="45" spans="1:12" x14ac:dyDescent="0.2">
      <c r="A45" s="191"/>
      <c r="B45" s="242" t="s">
        <v>144</v>
      </c>
      <c r="C45" s="243">
        <f>G38+G40+G43+G41</f>
        <v>13.959999999999999</v>
      </c>
      <c r="D45" s="244" t="s">
        <v>4</v>
      </c>
      <c r="E45" s="286"/>
      <c r="F45" s="286"/>
      <c r="G45" s="286"/>
      <c r="H45" s="286"/>
      <c r="I45" s="286"/>
      <c r="J45" s="286"/>
      <c r="K45" s="286"/>
      <c r="L45" s="286"/>
    </row>
    <row r="46" spans="1:12" x14ac:dyDescent="0.2">
      <c r="A46" s="191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</row>
    <row r="47" spans="1:12" ht="13.5" customHeight="1" x14ac:dyDescent="0.2">
      <c r="A47" s="181" t="str">
        <f>ORÇAMENTO!A85</f>
        <v>7.1.1.3</v>
      </c>
      <c r="B47" s="551" t="str">
        <f>ORÇAMENTO!D85</f>
        <v>LASTRO DE CONCRETO MAGRO, APLICADO EM PISOS OU RADIERS, ESPESSURA DE 5 CM. AF_07/2016</v>
      </c>
      <c r="C47" s="550"/>
      <c r="D47" s="550"/>
      <c r="E47" s="550"/>
      <c r="F47" s="550"/>
      <c r="G47" s="550"/>
      <c r="H47" s="550"/>
      <c r="I47" s="550"/>
      <c r="J47" s="550"/>
      <c r="K47" s="550"/>
      <c r="L47" s="550"/>
    </row>
    <row r="48" spans="1:12" x14ac:dyDescent="0.2">
      <c r="A48" s="191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</row>
    <row r="49" spans="1:12" s="225" customFormat="1" x14ac:dyDescent="0.2">
      <c r="A49" s="191"/>
      <c r="B49" s="189"/>
      <c r="C49" s="1241" t="s">
        <v>544</v>
      </c>
      <c r="D49" s="1241"/>
      <c r="E49" s="1241"/>
      <c r="F49" s="1241"/>
      <c r="G49" s="1241"/>
      <c r="H49" s="286"/>
      <c r="I49" s="286"/>
      <c r="J49" s="286"/>
      <c r="K49" s="286"/>
      <c r="L49" s="286"/>
    </row>
    <row r="50" spans="1:12" s="225" customFormat="1" x14ac:dyDescent="0.2">
      <c r="A50" s="191"/>
      <c r="B50" s="189"/>
      <c r="C50" s="219" t="s">
        <v>106</v>
      </c>
      <c r="D50" s="219"/>
      <c r="E50" s="219" t="s">
        <v>152</v>
      </c>
      <c r="F50" s="219"/>
      <c r="G50" s="219" t="s">
        <v>154</v>
      </c>
      <c r="H50" s="286"/>
      <c r="I50" s="286"/>
      <c r="J50" s="286"/>
      <c r="K50" s="286"/>
      <c r="L50" s="286"/>
    </row>
    <row r="51" spans="1:12" s="225" customFormat="1" x14ac:dyDescent="0.2">
      <c r="A51" s="545"/>
      <c r="B51" s="546" t="s">
        <v>539</v>
      </c>
      <c r="C51" s="219">
        <f>C38</f>
        <v>2.4000000000000004</v>
      </c>
      <c r="D51" s="552" t="s">
        <v>22</v>
      </c>
      <c r="E51" s="219">
        <f>E38</f>
        <v>1.9</v>
      </c>
      <c r="F51" s="552" t="s">
        <v>23</v>
      </c>
      <c r="G51" s="219">
        <f>ROUND((E51*C51),2)</f>
        <v>4.5599999999999996</v>
      </c>
      <c r="H51" s="286"/>
      <c r="I51" s="286"/>
      <c r="J51" s="286"/>
      <c r="K51" s="286"/>
      <c r="L51" s="286"/>
    </row>
    <row r="52" spans="1:12" s="225" customFormat="1" x14ac:dyDescent="0.2">
      <c r="A52" s="545"/>
      <c r="B52" s="189"/>
      <c r="C52" s="189"/>
      <c r="D52" s="189"/>
      <c r="E52" s="189"/>
      <c r="F52" s="189"/>
      <c r="G52" s="189"/>
      <c r="H52" s="286"/>
      <c r="I52" s="286"/>
      <c r="J52" s="286"/>
      <c r="K52" s="286"/>
      <c r="L52" s="286"/>
    </row>
    <row r="53" spans="1:12" x14ac:dyDescent="0.2">
      <c r="A53" s="191"/>
      <c r="B53" s="546" t="s">
        <v>486</v>
      </c>
      <c r="C53" s="219">
        <f>C40</f>
        <v>1.9</v>
      </c>
      <c r="D53" s="219" t="s">
        <v>22</v>
      </c>
      <c r="E53" s="219">
        <f>E40</f>
        <v>1.2</v>
      </c>
      <c r="F53" s="219" t="s">
        <v>23</v>
      </c>
      <c r="G53" s="219">
        <f>ROUND((E53*C53),2)</f>
        <v>2.2799999999999998</v>
      </c>
      <c r="H53" s="286"/>
      <c r="I53" s="286"/>
      <c r="J53" s="286"/>
      <c r="K53" s="286"/>
      <c r="L53" s="286"/>
    </row>
    <row r="54" spans="1:12" x14ac:dyDescent="0.2">
      <c r="A54" s="191"/>
      <c r="B54" s="546" t="s">
        <v>486</v>
      </c>
      <c r="C54" s="219">
        <f>C41</f>
        <v>1.9</v>
      </c>
      <c r="D54" s="219" t="s">
        <v>22</v>
      </c>
      <c r="E54" s="219">
        <f>E41</f>
        <v>1.2</v>
      </c>
      <c r="F54" s="219" t="s">
        <v>23</v>
      </c>
      <c r="G54" s="219">
        <f>ROUND((E54*C54),2)</f>
        <v>2.2799999999999998</v>
      </c>
      <c r="H54" s="286"/>
      <c r="I54" s="286"/>
      <c r="J54" s="286"/>
      <c r="K54" s="286"/>
      <c r="L54" s="286"/>
    </row>
    <row r="55" spans="1:12" x14ac:dyDescent="0.2">
      <c r="A55" s="191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</row>
    <row r="56" spans="1:12" x14ac:dyDescent="0.2">
      <c r="A56" s="191"/>
      <c r="B56" s="546" t="s">
        <v>542</v>
      </c>
      <c r="C56" s="219">
        <f>C43</f>
        <v>2.2000000000000002</v>
      </c>
      <c r="D56" s="219" t="s">
        <v>22</v>
      </c>
      <c r="E56" s="219">
        <f>E43</f>
        <v>2.2000000000000002</v>
      </c>
      <c r="F56" s="219" t="s">
        <v>23</v>
      </c>
      <c r="G56" s="219">
        <f>ROUND((E56*C56),2)</f>
        <v>4.84</v>
      </c>
      <c r="H56" s="286"/>
      <c r="I56" s="286"/>
      <c r="J56" s="286"/>
      <c r="K56" s="286"/>
      <c r="L56" s="286"/>
    </row>
    <row r="57" spans="1:12" x14ac:dyDescent="0.2">
      <c r="A57" s="191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</row>
    <row r="58" spans="1:12" x14ac:dyDescent="0.2">
      <c r="A58" s="191"/>
      <c r="B58" s="242" t="s">
        <v>144</v>
      </c>
      <c r="C58" s="243">
        <f>SUM(G53,G51,G56,G54)</f>
        <v>13.959999999999999</v>
      </c>
      <c r="D58" s="244" t="s">
        <v>4</v>
      </c>
      <c r="E58" s="555"/>
      <c r="F58" s="555"/>
      <c r="G58" s="555"/>
      <c r="H58" s="555"/>
      <c r="I58" s="555"/>
      <c r="J58" s="555"/>
      <c r="K58" s="286"/>
      <c r="L58" s="286"/>
    </row>
    <row r="59" spans="1:12" x14ac:dyDescent="0.2">
      <c r="A59" s="191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</row>
    <row r="60" spans="1:12" ht="43.5" customHeight="1" x14ac:dyDescent="0.2">
      <c r="A60" s="553" t="str">
        <f>ORÇAMENTO!A86</f>
        <v>7.1.1.4</v>
      </c>
      <c r="B60" s="1242" t="str">
        <f>ORÇAMENTO!D86</f>
        <v xml:space="preserve">MONTAGEM E DESMONTAGEM DE FÔRMA DE LAJE MACIÇA, PÉ-DIREITO SIMPLES, EM CHAPA DE MADEIRA COMPENSADA RESINADA, 4 UTILIZAÇÕES. AF_09/2020	</v>
      </c>
      <c r="C60" s="1243"/>
      <c r="D60" s="1243"/>
      <c r="E60" s="1243"/>
      <c r="F60" s="1243"/>
      <c r="G60" s="1243"/>
      <c r="H60" s="1243"/>
      <c r="I60" s="1243"/>
      <c r="J60" s="1243"/>
      <c r="K60" s="1243"/>
      <c r="L60" s="1243"/>
    </row>
    <row r="61" spans="1:12" x14ac:dyDescent="0.2">
      <c r="A61" s="191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</row>
    <row r="62" spans="1:12" x14ac:dyDescent="0.2">
      <c r="A62" s="191"/>
      <c r="B62" s="191"/>
      <c r="C62" s="272" t="s">
        <v>545</v>
      </c>
      <c r="D62" s="272"/>
      <c r="E62" s="272"/>
      <c r="F62" s="272"/>
      <c r="G62" s="272"/>
      <c r="H62" s="286"/>
      <c r="I62" s="286"/>
      <c r="J62" s="286"/>
      <c r="K62" s="286"/>
      <c r="L62" s="286"/>
    </row>
    <row r="63" spans="1:12" x14ac:dyDescent="0.2">
      <c r="A63" s="191"/>
      <c r="B63" s="191"/>
      <c r="C63" s="219" t="s">
        <v>546</v>
      </c>
      <c r="D63" s="219"/>
      <c r="E63" s="219" t="s">
        <v>98</v>
      </c>
      <c r="F63" s="219"/>
      <c r="G63" s="219" t="s">
        <v>547</v>
      </c>
      <c r="H63" s="286"/>
      <c r="I63" s="286"/>
      <c r="J63" s="286"/>
      <c r="K63" s="286"/>
      <c r="L63" s="286"/>
    </row>
    <row r="64" spans="1:12" x14ac:dyDescent="0.2">
      <c r="A64" s="191"/>
      <c r="B64" s="546" t="s">
        <v>539</v>
      </c>
      <c r="C64" s="219">
        <v>6.8</v>
      </c>
      <c r="D64" s="219" t="s">
        <v>22</v>
      </c>
      <c r="E64" s="219">
        <v>2</v>
      </c>
      <c r="F64" s="219" t="s">
        <v>23</v>
      </c>
      <c r="G64" s="552">
        <f>ROUND((C64*E64),2)</f>
        <v>13.6</v>
      </c>
      <c r="H64" s="286" t="s">
        <v>548</v>
      </c>
      <c r="I64" s="286"/>
      <c r="J64" s="286"/>
      <c r="K64" s="286"/>
      <c r="L64" s="286"/>
    </row>
    <row r="65" spans="1:12" x14ac:dyDescent="0.2">
      <c r="A65" s="191"/>
      <c r="B65" s="546" t="s">
        <v>486</v>
      </c>
      <c r="C65" s="219">
        <v>4.4000000000000004</v>
      </c>
      <c r="D65" s="219" t="s">
        <v>22</v>
      </c>
      <c r="E65" s="219">
        <v>0.9</v>
      </c>
      <c r="F65" s="219" t="s">
        <v>23</v>
      </c>
      <c r="G65" s="552">
        <f>ROUND((C65*E65),2)</f>
        <v>3.96</v>
      </c>
      <c r="H65" s="286"/>
      <c r="I65" s="286"/>
      <c r="J65" s="286"/>
      <c r="K65" s="286"/>
      <c r="L65" s="286"/>
    </row>
    <row r="66" spans="1:12" x14ac:dyDescent="0.2">
      <c r="A66" s="191"/>
      <c r="B66" s="546" t="s">
        <v>486</v>
      </c>
      <c r="C66" s="219">
        <v>4.4000000000000004</v>
      </c>
      <c r="D66" s="219" t="s">
        <v>22</v>
      </c>
      <c r="E66" s="219">
        <v>0.9</v>
      </c>
      <c r="F66" s="219" t="s">
        <v>23</v>
      </c>
      <c r="G66" s="552">
        <f>ROUND((C66*E66),2)</f>
        <v>3.96</v>
      </c>
      <c r="H66" s="286"/>
      <c r="I66" s="286"/>
      <c r="J66" s="286"/>
      <c r="K66" s="286"/>
      <c r="L66" s="286"/>
    </row>
    <row r="67" spans="1:12" x14ac:dyDescent="0.2">
      <c r="A67" s="191"/>
      <c r="B67" s="546" t="s">
        <v>542</v>
      </c>
      <c r="C67" s="219">
        <v>7</v>
      </c>
      <c r="D67" s="219" t="s">
        <v>22</v>
      </c>
      <c r="E67" s="219">
        <v>1.6</v>
      </c>
      <c r="F67" s="219" t="s">
        <v>23</v>
      </c>
      <c r="G67" s="552">
        <f>ROUND((C67*E67),2)</f>
        <v>11.2</v>
      </c>
      <c r="H67" s="286"/>
      <c r="I67" s="286"/>
      <c r="J67" s="286"/>
      <c r="K67" s="286"/>
      <c r="L67" s="286"/>
    </row>
    <row r="68" spans="1:12" x14ac:dyDescent="0.2">
      <c r="A68" s="191"/>
      <c r="B68" s="189"/>
      <c r="C68" s="554" t="s">
        <v>549</v>
      </c>
      <c r="D68" s="189"/>
      <c r="E68" s="219" t="s">
        <v>75</v>
      </c>
      <c r="F68" s="189"/>
      <c r="G68" s="219" t="s">
        <v>547</v>
      </c>
      <c r="H68" s="286"/>
      <c r="I68" s="286"/>
      <c r="J68" s="286"/>
      <c r="K68" s="286"/>
      <c r="L68" s="286"/>
    </row>
    <row r="69" spans="1:12" x14ac:dyDescent="0.2">
      <c r="A69" s="191"/>
      <c r="B69" s="546" t="s">
        <v>539</v>
      </c>
      <c r="C69" s="219">
        <f>2.2+2.2+1.7+1.7</f>
        <v>7.8000000000000007</v>
      </c>
      <c r="D69" s="219" t="s">
        <v>22</v>
      </c>
      <c r="E69" s="219">
        <f>G25</f>
        <v>2.25</v>
      </c>
      <c r="F69" s="219" t="s">
        <v>23</v>
      </c>
      <c r="G69" s="552">
        <f t="shared" ref="G69:G72" si="0">ROUND((C69*E69),2)</f>
        <v>17.55</v>
      </c>
      <c r="H69" s="286" t="s">
        <v>550</v>
      </c>
      <c r="I69" s="286"/>
      <c r="J69" s="286"/>
      <c r="K69" s="286"/>
      <c r="L69" s="286"/>
    </row>
    <row r="70" spans="1:12" x14ac:dyDescent="0.2">
      <c r="A70" s="556"/>
      <c r="B70" s="546" t="s">
        <v>540</v>
      </c>
      <c r="C70" s="219">
        <f>1.7+1.7+1+1</f>
        <v>5.4</v>
      </c>
      <c r="D70" s="219" t="s">
        <v>22</v>
      </c>
      <c r="E70" s="219">
        <v>0.95</v>
      </c>
      <c r="F70" s="219" t="s">
        <v>23</v>
      </c>
      <c r="G70" s="552">
        <f t="shared" si="0"/>
        <v>5.13</v>
      </c>
      <c r="H70" s="286"/>
      <c r="I70" s="286"/>
      <c r="J70" s="286"/>
      <c r="K70" s="286"/>
      <c r="L70" s="286"/>
    </row>
    <row r="71" spans="1:12" x14ac:dyDescent="0.2">
      <c r="A71" s="556"/>
      <c r="B71" s="546" t="s">
        <v>541</v>
      </c>
      <c r="C71" s="219">
        <f>1.7+1.7+1+1</f>
        <v>5.4</v>
      </c>
      <c r="D71" s="219" t="s">
        <v>22</v>
      </c>
      <c r="E71" s="219">
        <v>0.95</v>
      </c>
      <c r="F71" s="219" t="s">
        <v>23</v>
      </c>
      <c r="G71" s="552">
        <f t="shared" si="0"/>
        <v>5.13</v>
      </c>
      <c r="H71" s="286"/>
      <c r="I71" s="286"/>
      <c r="J71" s="286"/>
      <c r="K71" s="286"/>
      <c r="L71" s="286"/>
    </row>
    <row r="72" spans="1:12" x14ac:dyDescent="0.2">
      <c r="A72" s="556"/>
      <c r="B72" s="546" t="s">
        <v>542</v>
      </c>
      <c r="C72" s="219">
        <f>2+2+2+2</f>
        <v>8</v>
      </c>
      <c r="D72" s="219" t="s">
        <v>22</v>
      </c>
      <c r="E72" s="219">
        <v>1.7</v>
      </c>
      <c r="F72" s="219" t="s">
        <v>23</v>
      </c>
      <c r="G72" s="552">
        <f t="shared" si="0"/>
        <v>13.6</v>
      </c>
      <c r="H72" s="286"/>
      <c r="I72" s="286"/>
      <c r="J72" s="286"/>
      <c r="K72" s="286"/>
      <c r="L72" s="286"/>
    </row>
    <row r="73" spans="1:12" x14ac:dyDescent="0.2">
      <c r="A73" s="191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</row>
    <row r="74" spans="1:12" x14ac:dyDescent="0.2">
      <c r="A74" s="191"/>
      <c r="B74" s="242" t="s">
        <v>551</v>
      </c>
      <c r="C74" s="246">
        <f>SUM(G64:G67,G69:G72)</f>
        <v>74.13</v>
      </c>
      <c r="D74" s="244" t="s">
        <v>4</v>
      </c>
      <c r="E74" s="286"/>
      <c r="F74" s="286"/>
      <c r="G74" s="286"/>
      <c r="H74" s="286"/>
      <c r="I74" s="286"/>
      <c r="J74" s="286"/>
      <c r="K74" s="286"/>
      <c r="L74" s="286"/>
    </row>
    <row r="75" spans="1:12" x14ac:dyDescent="0.2">
      <c r="A75" s="191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</row>
    <row r="76" spans="1:12" ht="13.5" customHeight="1" x14ac:dyDescent="0.2">
      <c r="A76" s="181" t="str">
        <f>ORÇAMENTO!A87</f>
        <v>7.1.1.5</v>
      </c>
      <c r="B76" s="182" t="str">
        <f>ORÇAMENTO!D87</f>
        <v>CONCRETO FCK = 20MPA, TRAÇO 1:2,7:3 (CIMENTO/ AREIA MÉDIA/ BRITA 1)  - PREPARO MECÂNICO COM BETONEIRA 600 L. AF_07/2016</v>
      </c>
      <c r="C76" s="182"/>
      <c r="D76" s="182"/>
      <c r="E76" s="182"/>
      <c r="F76" s="182"/>
      <c r="G76" s="182"/>
      <c r="H76" s="182"/>
      <c r="I76" s="182"/>
      <c r="J76" s="182"/>
      <c r="K76" s="182"/>
      <c r="L76" s="182"/>
    </row>
    <row r="77" spans="1:12" x14ac:dyDescent="0.2">
      <c r="A77" s="191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</row>
    <row r="78" spans="1:12" x14ac:dyDescent="0.2">
      <c r="A78" s="191"/>
      <c r="B78" s="189"/>
      <c r="C78" s="557" t="s">
        <v>552</v>
      </c>
      <c r="D78" s="271"/>
      <c r="E78" s="271" t="s">
        <v>178</v>
      </c>
      <c r="F78" s="271"/>
      <c r="G78" s="271" t="s">
        <v>98</v>
      </c>
      <c r="H78" s="271"/>
      <c r="I78" s="271" t="s">
        <v>154</v>
      </c>
      <c r="J78" s="286"/>
      <c r="K78" s="286"/>
      <c r="L78" s="286"/>
    </row>
    <row r="79" spans="1:12" x14ac:dyDescent="0.2">
      <c r="A79" s="191"/>
      <c r="B79" s="558" t="s">
        <v>553</v>
      </c>
      <c r="C79" s="183">
        <f>C69</f>
        <v>7.8000000000000007</v>
      </c>
      <c r="D79" s="183" t="s">
        <v>22</v>
      </c>
      <c r="E79" s="183">
        <v>0.1</v>
      </c>
      <c r="F79" s="183" t="s">
        <v>22</v>
      </c>
      <c r="G79" s="183">
        <f>E69</f>
        <v>2.25</v>
      </c>
      <c r="H79" s="183" t="s">
        <v>23</v>
      </c>
      <c r="I79" s="183">
        <f>ROUND((C79*E79*G79),2)</f>
        <v>1.76</v>
      </c>
      <c r="J79" s="286"/>
      <c r="K79" s="286"/>
      <c r="L79" s="286"/>
    </row>
    <row r="80" spans="1:12" ht="24" x14ac:dyDescent="0.2">
      <c r="A80" s="191"/>
      <c r="B80" s="558" t="s">
        <v>554</v>
      </c>
      <c r="C80" s="183">
        <f>C70</f>
        <v>5.4</v>
      </c>
      <c r="D80" s="183" t="s">
        <v>22</v>
      </c>
      <c r="E80" s="183">
        <v>0.1</v>
      </c>
      <c r="F80" s="183" t="s">
        <v>22</v>
      </c>
      <c r="G80" s="183">
        <f t="shared" ref="G80:G82" si="1">E70</f>
        <v>0.95</v>
      </c>
      <c r="H80" s="183" t="s">
        <v>23</v>
      </c>
      <c r="I80" s="183">
        <f>ROUND((C80*E80*G80),2)</f>
        <v>0.51</v>
      </c>
      <c r="J80" s="286"/>
      <c r="K80" s="286"/>
      <c r="L80" s="286"/>
    </row>
    <row r="81" spans="1:12" ht="24" x14ac:dyDescent="0.2">
      <c r="A81" s="191"/>
      <c r="B81" s="558" t="s">
        <v>555</v>
      </c>
      <c r="C81" s="183">
        <f>C71</f>
        <v>5.4</v>
      </c>
      <c r="D81" s="183" t="s">
        <v>22</v>
      </c>
      <c r="E81" s="183">
        <v>0.1</v>
      </c>
      <c r="F81" s="183" t="s">
        <v>22</v>
      </c>
      <c r="G81" s="183">
        <f t="shared" si="1"/>
        <v>0.95</v>
      </c>
      <c r="H81" s="183" t="s">
        <v>23</v>
      </c>
      <c r="I81" s="183">
        <f>ROUND((C81*E81*G81),2)</f>
        <v>0.51</v>
      </c>
      <c r="J81" s="286"/>
      <c r="K81" s="286"/>
      <c r="L81" s="286"/>
    </row>
    <row r="82" spans="1:12" ht="24" x14ac:dyDescent="0.2">
      <c r="A82" s="191"/>
      <c r="B82" s="558" t="s">
        <v>556</v>
      </c>
      <c r="C82" s="183">
        <f>C72</f>
        <v>8</v>
      </c>
      <c r="D82" s="183" t="s">
        <v>22</v>
      </c>
      <c r="E82" s="183">
        <v>0.1</v>
      </c>
      <c r="F82" s="183" t="s">
        <v>22</v>
      </c>
      <c r="G82" s="183">
        <f t="shared" si="1"/>
        <v>1.7</v>
      </c>
      <c r="H82" s="183" t="s">
        <v>23</v>
      </c>
      <c r="I82" s="183">
        <f>ROUND((C82*E82*G82),2)</f>
        <v>1.36</v>
      </c>
      <c r="J82" s="286"/>
      <c r="K82" s="286"/>
      <c r="L82" s="286"/>
    </row>
    <row r="83" spans="1:12" x14ac:dyDescent="0.2">
      <c r="A83" s="191"/>
      <c r="B83" s="555"/>
      <c r="C83" s="559"/>
      <c r="D83" s="559"/>
      <c r="E83" s="286"/>
      <c r="F83" s="286"/>
      <c r="G83" s="286"/>
      <c r="H83" s="286"/>
      <c r="I83" s="286"/>
      <c r="J83" s="286"/>
      <c r="K83" s="286"/>
      <c r="L83" s="286"/>
    </row>
    <row r="84" spans="1:12" x14ac:dyDescent="0.2">
      <c r="A84" s="191"/>
      <c r="B84" s="189"/>
      <c r="C84" s="271" t="s">
        <v>557</v>
      </c>
      <c r="D84" s="271"/>
      <c r="E84" s="271" t="s">
        <v>178</v>
      </c>
      <c r="F84" s="271"/>
      <c r="G84" s="271" t="s">
        <v>154</v>
      </c>
      <c r="H84" s="286"/>
      <c r="I84" s="286"/>
      <c r="J84" s="286"/>
      <c r="K84" s="286"/>
      <c r="L84" s="286"/>
    </row>
    <row r="85" spans="1:12" ht="24" x14ac:dyDescent="0.2">
      <c r="A85" s="191"/>
      <c r="B85" s="558" t="s">
        <v>558</v>
      </c>
      <c r="C85" s="183">
        <f>1.7*2.2</f>
        <v>3.74</v>
      </c>
      <c r="D85" s="183" t="s">
        <v>22</v>
      </c>
      <c r="E85" s="183">
        <v>0.1</v>
      </c>
      <c r="F85" s="183" t="s">
        <v>23</v>
      </c>
      <c r="G85" s="183">
        <f>ROUND((C85*E85),2)</f>
        <v>0.37</v>
      </c>
      <c r="H85" s="286"/>
      <c r="I85" s="286"/>
      <c r="J85" s="286"/>
      <c r="K85" s="286"/>
      <c r="L85" s="286"/>
    </row>
    <row r="86" spans="1:12" ht="24" x14ac:dyDescent="0.2">
      <c r="A86" s="191"/>
      <c r="B86" s="558" t="s">
        <v>559</v>
      </c>
      <c r="C86" s="183">
        <f>1.7*1</f>
        <v>1.7</v>
      </c>
      <c r="D86" s="183" t="s">
        <v>22</v>
      </c>
      <c r="E86" s="183">
        <v>0.1</v>
      </c>
      <c r="F86" s="183" t="s">
        <v>23</v>
      </c>
      <c r="G86" s="183">
        <f>ROUND((C86*E86),2)</f>
        <v>0.17</v>
      </c>
      <c r="H86" s="286"/>
      <c r="I86" s="286"/>
      <c r="J86" s="286"/>
      <c r="K86" s="286"/>
      <c r="L86" s="286"/>
    </row>
    <row r="87" spans="1:12" ht="24" x14ac:dyDescent="0.2">
      <c r="A87" s="191"/>
      <c r="B87" s="558" t="s">
        <v>560</v>
      </c>
      <c r="C87" s="183">
        <f>C86</f>
        <v>1.7</v>
      </c>
      <c r="D87" s="183" t="s">
        <v>22</v>
      </c>
      <c r="E87" s="183">
        <v>0.1</v>
      </c>
      <c r="F87" s="183" t="s">
        <v>23</v>
      </c>
      <c r="G87" s="183">
        <f>ROUND((C87*E87),2)</f>
        <v>0.17</v>
      </c>
      <c r="H87" s="286"/>
      <c r="I87" s="286"/>
      <c r="J87" s="286"/>
      <c r="K87" s="286"/>
      <c r="L87" s="286"/>
    </row>
    <row r="88" spans="1:12" ht="24" x14ac:dyDescent="0.2">
      <c r="A88" s="191"/>
      <c r="B88" s="558" t="s">
        <v>561</v>
      </c>
      <c r="C88" s="183">
        <f>2*2</f>
        <v>4</v>
      </c>
      <c r="D88" s="183" t="s">
        <v>22</v>
      </c>
      <c r="E88" s="183">
        <v>0.1</v>
      </c>
      <c r="F88" s="183" t="s">
        <v>23</v>
      </c>
      <c r="G88" s="183">
        <f>ROUND((C88*E88),2)</f>
        <v>0.4</v>
      </c>
      <c r="H88" s="286"/>
      <c r="I88" s="286"/>
      <c r="J88" s="286"/>
      <c r="K88" s="286"/>
      <c r="L88" s="286"/>
    </row>
    <row r="89" spans="1:12" x14ac:dyDescent="0.2">
      <c r="A89" s="191"/>
      <c r="B89" s="559"/>
      <c r="C89" s="559"/>
      <c r="D89" s="559"/>
      <c r="E89" s="286"/>
      <c r="F89" s="286"/>
      <c r="G89" s="286"/>
      <c r="H89" s="286"/>
      <c r="I89" s="286"/>
      <c r="J89" s="286"/>
      <c r="K89" s="286"/>
      <c r="L89" s="286"/>
    </row>
    <row r="90" spans="1:12" x14ac:dyDescent="0.2">
      <c r="A90" s="191"/>
      <c r="B90" s="242" t="s">
        <v>551</v>
      </c>
      <c r="C90" s="243">
        <f>SUM(I79:I82)+SUM(G85:G88)</f>
        <v>5.2500000000000009</v>
      </c>
      <c r="D90" s="244" t="s">
        <v>5</v>
      </c>
      <c r="E90" s="286"/>
      <c r="F90" s="286"/>
      <c r="G90" s="286"/>
      <c r="H90" s="286"/>
      <c r="I90" s="286"/>
      <c r="J90" s="286"/>
      <c r="K90" s="286"/>
      <c r="L90" s="286"/>
    </row>
    <row r="91" spans="1:12" x14ac:dyDescent="0.2">
      <c r="A91" s="191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</row>
    <row r="92" spans="1:12" ht="32.25" customHeight="1" x14ac:dyDescent="0.2">
      <c r="A92" s="181" t="str">
        <f>ORÇAMENTO!A88</f>
        <v>7.1.1.6</v>
      </c>
      <c r="B92" s="1231" t="str">
        <f>ORÇAMENTO!D88</f>
        <v>ARMAÇÃO DE PILAR OU VIGA DE UMA ESTRUTURA CONVENCIONAL DE CONCRETO ARMADO EM UMA EDIFICAÇÃO TÉRREA OU SOBRADO UTILIZANDO AÇO CA-50 DE 8,0 MM - MONTAGEM. AF_12/2015</v>
      </c>
      <c r="C92" s="1232"/>
      <c r="D92" s="1232"/>
      <c r="E92" s="1232"/>
      <c r="F92" s="1232"/>
      <c r="G92" s="1232"/>
      <c r="H92" s="1232"/>
      <c r="I92" s="1232"/>
      <c r="J92" s="1232"/>
      <c r="K92" s="1232"/>
      <c r="L92" s="1232"/>
    </row>
    <row r="93" spans="1:12" x14ac:dyDescent="0.2">
      <c r="A93" s="191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</row>
    <row r="94" spans="1:12" x14ac:dyDescent="0.2">
      <c r="A94" s="191"/>
      <c r="B94" s="191"/>
      <c r="C94" s="191"/>
      <c r="D94" s="271" t="s">
        <v>408</v>
      </c>
      <c r="E94" s="560" t="s">
        <v>562</v>
      </c>
      <c r="F94" s="271" t="s">
        <v>67</v>
      </c>
      <c r="G94" s="561"/>
      <c r="H94" s="190"/>
      <c r="I94" s="292"/>
      <c r="J94" s="292"/>
      <c r="K94" s="292"/>
      <c r="L94" s="180"/>
    </row>
    <row r="95" spans="1:12" x14ac:dyDescent="0.2">
      <c r="A95" s="191"/>
      <c r="B95" s="562" t="s">
        <v>539</v>
      </c>
      <c r="C95" s="1244" t="s">
        <v>563</v>
      </c>
      <c r="D95" s="563" t="s">
        <v>413</v>
      </c>
      <c r="E95" s="564" t="s">
        <v>564</v>
      </c>
      <c r="F95" s="564">
        <v>23.2</v>
      </c>
      <c r="G95" s="565"/>
      <c r="H95" s="191"/>
      <c r="I95" s="292"/>
      <c r="J95" s="555"/>
      <c r="K95" s="292"/>
      <c r="L95" s="180"/>
    </row>
    <row r="96" spans="1:12" x14ac:dyDescent="0.2">
      <c r="A96" s="191"/>
      <c r="B96" s="562" t="s">
        <v>540</v>
      </c>
      <c r="C96" s="1245"/>
      <c r="D96" s="563" t="s">
        <v>413</v>
      </c>
      <c r="E96" s="564" t="s">
        <v>564</v>
      </c>
      <c r="F96" s="564">
        <v>12</v>
      </c>
      <c r="G96" s="565"/>
      <c r="H96" s="191"/>
      <c r="I96" s="292"/>
      <c r="J96" s="566"/>
      <c r="K96" s="292"/>
      <c r="L96" s="180"/>
    </row>
    <row r="97" spans="1:12" x14ac:dyDescent="0.2">
      <c r="A97" s="191"/>
      <c r="B97" s="562" t="s">
        <v>541</v>
      </c>
      <c r="C97" s="1245"/>
      <c r="D97" s="563" t="s">
        <v>413</v>
      </c>
      <c r="E97" s="564" t="s">
        <v>564</v>
      </c>
      <c r="F97" s="564">
        <v>12</v>
      </c>
      <c r="G97" s="565"/>
      <c r="H97" s="191"/>
      <c r="I97" s="292"/>
      <c r="J97" s="566"/>
      <c r="K97" s="292"/>
      <c r="L97" s="180"/>
    </row>
    <row r="98" spans="1:12" x14ac:dyDescent="0.2">
      <c r="A98" s="191"/>
      <c r="B98" s="562" t="s">
        <v>542</v>
      </c>
      <c r="C98" s="1246"/>
      <c r="D98" s="563" t="s">
        <v>413</v>
      </c>
      <c r="E98" s="564" t="s">
        <v>564</v>
      </c>
      <c r="F98" s="564">
        <v>28.1</v>
      </c>
      <c r="G98" s="565"/>
      <c r="H98" s="191"/>
      <c r="I98" s="292"/>
      <c r="J98" s="566"/>
      <c r="K98" s="292"/>
      <c r="L98" s="180"/>
    </row>
    <row r="99" spans="1:12" ht="15" x14ac:dyDescent="0.2">
      <c r="A99" s="191"/>
      <c r="B99" s="567"/>
      <c r="C99" s="568" t="s">
        <v>17</v>
      </c>
      <c r="D99" s="569"/>
      <c r="E99" s="570"/>
      <c r="F99" s="571">
        <f>SUM(F95:F98)</f>
        <v>75.300000000000011</v>
      </c>
      <c r="G99" s="565"/>
      <c r="H99" s="191"/>
      <c r="I99" s="292"/>
      <c r="J99" s="566"/>
      <c r="K99" s="292"/>
      <c r="L99" s="180"/>
    </row>
    <row r="100" spans="1:12" ht="7.5" customHeight="1" x14ac:dyDescent="0.2">
      <c r="A100" s="556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286"/>
    </row>
    <row r="101" spans="1:12" x14ac:dyDescent="0.2">
      <c r="A101" s="191"/>
      <c r="B101" s="242" t="s">
        <v>551</v>
      </c>
      <c r="C101" s="243">
        <f>F99</f>
        <v>75.300000000000011</v>
      </c>
      <c r="D101" s="244" t="s">
        <v>136</v>
      </c>
      <c r="E101" s="572"/>
      <c r="F101" s="572"/>
      <c r="G101" s="572"/>
      <c r="H101" s="572"/>
      <c r="I101" s="572"/>
      <c r="J101" s="572"/>
      <c r="K101" s="572"/>
      <c r="L101" s="286"/>
    </row>
    <row r="102" spans="1:12" x14ac:dyDescent="0.2">
      <c r="A102" s="191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</row>
    <row r="103" spans="1:12" ht="32.25" customHeight="1" x14ac:dyDescent="0.2">
      <c r="A103" s="181" t="str">
        <f>ORÇAMENTO!A89</f>
        <v>7.1.1.7</v>
      </c>
      <c r="B103" s="1232" t="str">
        <f>ORÇAMENTO!D89</f>
        <v>ARMAÇÃO DE PILAR OU VIGA DE UMA ESTRUTURA CONVENCIONAL DE CONCRETO ARMADO EM UMA EDIFICAÇÃO TÉRREA OU SOBRADO UTILIZANDO AÇO CA-50 DE 6,3 MM - MONTAGEM. AF_12/2015</v>
      </c>
      <c r="C103" s="1232"/>
      <c r="D103" s="1232"/>
      <c r="E103" s="1232"/>
      <c r="F103" s="1232"/>
      <c r="G103" s="1232"/>
      <c r="H103" s="1232"/>
      <c r="I103" s="1232"/>
      <c r="J103" s="1232"/>
      <c r="K103" s="1232"/>
      <c r="L103" s="1232"/>
    </row>
    <row r="104" spans="1:12" x14ac:dyDescent="0.2">
      <c r="A104" s="191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</row>
    <row r="105" spans="1:12" x14ac:dyDescent="0.2">
      <c r="A105" s="191"/>
      <c r="B105" s="191"/>
      <c r="C105" s="191"/>
      <c r="D105" s="271" t="s">
        <v>408</v>
      </c>
      <c r="E105" s="560" t="s">
        <v>562</v>
      </c>
      <c r="F105" s="281" t="s">
        <v>67</v>
      </c>
      <c r="G105" s="189"/>
      <c r="H105" s="190"/>
      <c r="I105" s="292"/>
      <c r="J105" s="292"/>
      <c r="K105" s="292"/>
      <c r="L105" s="180"/>
    </row>
    <row r="106" spans="1:12" x14ac:dyDescent="0.2">
      <c r="A106" s="191"/>
      <c r="B106" s="562" t="s">
        <v>539</v>
      </c>
      <c r="C106" s="1244" t="s">
        <v>565</v>
      </c>
      <c r="D106" s="563" t="s">
        <v>413</v>
      </c>
      <c r="E106" s="564" t="s">
        <v>566</v>
      </c>
      <c r="F106" s="552">
        <v>131.6</v>
      </c>
      <c r="G106" s="189"/>
      <c r="H106" s="191"/>
      <c r="I106" s="292"/>
      <c r="J106" s="555"/>
      <c r="K106" s="292"/>
      <c r="L106" s="180"/>
    </row>
    <row r="107" spans="1:12" x14ac:dyDescent="0.2">
      <c r="A107" s="191"/>
      <c r="B107" s="562" t="s">
        <v>567</v>
      </c>
      <c r="C107" s="1245"/>
      <c r="D107" s="563" t="s">
        <v>413</v>
      </c>
      <c r="E107" s="564" t="s">
        <v>566</v>
      </c>
      <c r="F107" s="552">
        <v>95.2</v>
      </c>
      <c r="G107" s="189"/>
      <c r="H107" s="191"/>
      <c r="I107" s="292"/>
      <c r="J107" s="555"/>
      <c r="K107" s="292"/>
      <c r="L107" s="180"/>
    </row>
    <row r="108" spans="1:12" x14ac:dyDescent="0.2">
      <c r="A108" s="191"/>
      <c r="B108" s="562" t="s">
        <v>540</v>
      </c>
      <c r="C108" s="1245"/>
      <c r="D108" s="563" t="s">
        <v>413</v>
      </c>
      <c r="E108" s="564" t="s">
        <v>566</v>
      </c>
      <c r="F108" s="552">
        <v>41.2</v>
      </c>
      <c r="G108" s="189"/>
      <c r="H108" s="191"/>
      <c r="I108" s="292"/>
      <c r="J108" s="555"/>
      <c r="K108" s="292"/>
      <c r="L108" s="180"/>
    </row>
    <row r="109" spans="1:12" x14ac:dyDescent="0.2">
      <c r="A109" s="191"/>
      <c r="B109" s="562" t="s">
        <v>541</v>
      </c>
      <c r="C109" s="1246"/>
      <c r="D109" s="563" t="s">
        <v>413</v>
      </c>
      <c r="E109" s="564" t="s">
        <v>566</v>
      </c>
      <c r="F109" s="552">
        <v>41.2</v>
      </c>
      <c r="G109" s="189"/>
      <c r="H109" s="191"/>
      <c r="I109" s="292"/>
      <c r="J109" s="555"/>
      <c r="K109" s="292"/>
      <c r="L109" s="180"/>
    </row>
    <row r="110" spans="1:12" x14ac:dyDescent="0.2">
      <c r="A110" s="191"/>
      <c r="B110" s="573"/>
      <c r="C110" s="574" t="s">
        <v>17</v>
      </c>
      <c r="D110" s="575"/>
      <c r="E110" s="576"/>
      <c r="F110" s="552">
        <f>SUM(F106:F109)</f>
        <v>309.2</v>
      </c>
      <c r="G110" s="189"/>
      <c r="H110" s="191"/>
      <c r="I110" s="292"/>
      <c r="J110" s="566"/>
      <c r="K110" s="292"/>
      <c r="L110" s="180"/>
    </row>
    <row r="111" spans="1:12" x14ac:dyDescent="0.2">
      <c r="A111" s="191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</row>
    <row r="112" spans="1:12" x14ac:dyDescent="0.2">
      <c r="A112" s="191"/>
      <c r="B112" s="242" t="s">
        <v>551</v>
      </c>
      <c r="C112" s="243">
        <f>F110</f>
        <v>309.2</v>
      </c>
      <c r="D112" s="244" t="s">
        <v>136</v>
      </c>
      <c r="E112" s="286"/>
      <c r="F112" s="286"/>
      <c r="G112" s="286"/>
      <c r="H112" s="286"/>
      <c r="I112" s="286"/>
      <c r="J112" s="286"/>
      <c r="K112" s="218"/>
      <c r="L112" s="286"/>
    </row>
    <row r="113" spans="1:12" x14ac:dyDescent="0.2">
      <c r="A113" s="191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</row>
    <row r="114" spans="1:12" ht="15" x14ac:dyDescent="0.25">
      <c r="A114" s="472" t="str">
        <f>ORÇAMENTO!A90</f>
        <v>7.1.1.8</v>
      </c>
      <c r="B114" s="577" t="str">
        <f>ORÇAMENTO!D90</f>
        <v>LANÇAMENTO COM USO DE BALDES, ADENSAMENTO E ACABAMENTO DE CONCRETO EM ESTRUTURAS. AF_02/2022</v>
      </c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</row>
    <row r="115" spans="1:12" x14ac:dyDescent="0.2">
      <c r="A115" s="191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</row>
    <row r="116" spans="1:12" ht="15" x14ac:dyDescent="0.25">
      <c r="A116" s="191"/>
      <c r="B116" s="286" t="s">
        <v>568</v>
      </c>
      <c r="C116" s="286"/>
      <c r="D116" s="577" t="str">
        <f>A76</f>
        <v>7.1.1.5</v>
      </c>
      <c r="E116" s="286"/>
      <c r="F116" s="286"/>
      <c r="G116" s="286"/>
      <c r="H116" s="286"/>
      <c r="I116" s="286"/>
      <c r="J116" s="286"/>
      <c r="K116" s="286"/>
      <c r="L116" s="286"/>
    </row>
    <row r="117" spans="1:12" x14ac:dyDescent="0.2">
      <c r="A117" s="191"/>
      <c r="B117" s="559"/>
      <c r="C117" s="559"/>
      <c r="D117" s="559"/>
      <c r="E117" s="286"/>
      <c r="F117" s="286"/>
      <c r="G117" s="286"/>
      <c r="H117" s="286"/>
      <c r="I117" s="286"/>
      <c r="J117" s="286"/>
      <c r="K117" s="286"/>
      <c r="L117" s="286"/>
    </row>
    <row r="118" spans="1:12" x14ac:dyDescent="0.2">
      <c r="A118" s="191"/>
      <c r="B118" s="242" t="s">
        <v>551</v>
      </c>
      <c r="C118" s="243">
        <f>C90</f>
        <v>5.2500000000000009</v>
      </c>
      <c r="D118" s="244" t="s">
        <v>5</v>
      </c>
      <c r="E118" s="286"/>
      <c r="F118" s="286"/>
      <c r="G118" s="286"/>
      <c r="H118" s="286"/>
      <c r="I118" s="286"/>
      <c r="J118" s="286"/>
      <c r="K118" s="286"/>
      <c r="L118" s="286"/>
    </row>
    <row r="119" spans="1:12" x14ac:dyDescent="0.2">
      <c r="A119" s="191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</row>
    <row r="120" spans="1:12" ht="15.75" customHeight="1" x14ac:dyDescent="0.2">
      <c r="A120" s="181"/>
      <c r="B120" s="1232" t="str">
        <f>ORÇAMENTO!D91</f>
        <v>LAJE DA TAMPA</v>
      </c>
      <c r="C120" s="1232"/>
      <c r="D120" s="1232"/>
      <c r="E120" s="1232"/>
      <c r="F120" s="1232"/>
      <c r="G120" s="1232"/>
      <c r="H120" s="1232"/>
      <c r="I120" s="1232"/>
      <c r="J120" s="1232"/>
      <c r="K120" s="1232"/>
      <c r="L120" s="1232"/>
    </row>
    <row r="121" spans="1:12" ht="15.75" customHeight="1" x14ac:dyDescent="0.2">
      <c r="A121" s="181"/>
      <c r="B121" s="578"/>
      <c r="C121" s="578"/>
      <c r="D121" s="578"/>
      <c r="E121" s="578"/>
      <c r="F121" s="578"/>
      <c r="G121" s="578"/>
      <c r="H121" s="578"/>
      <c r="I121" s="578"/>
      <c r="J121" s="578"/>
      <c r="K121" s="578"/>
      <c r="L121" s="578"/>
    </row>
    <row r="122" spans="1:12" ht="32.25" customHeight="1" x14ac:dyDescent="0.2">
      <c r="A122" s="181" t="str">
        <f>ORÇAMENTO!A92</f>
        <v>7.1.2.1</v>
      </c>
      <c r="B122" s="1231" t="str">
        <f>ORÇAMENTO!D92</f>
        <v>MONTAGEM E DESMONTAGEM DE FÔRMA DE LAJE MACIÇA, PÉ-DIREITO SIMPLES, EM CHAPA DE MADEIRA COMPENSADA RESINADA, 4 UTILIZAÇÕES. AF_09/2020</v>
      </c>
      <c r="C122" s="1232"/>
      <c r="D122" s="1232"/>
      <c r="E122" s="1232"/>
      <c r="F122" s="1232"/>
      <c r="G122" s="1232"/>
      <c r="H122" s="1232"/>
      <c r="I122" s="1232"/>
      <c r="J122" s="1232"/>
      <c r="K122" s="1232"/>
      <c r="L122" s="1232"/>
    </row>
    <row r="123" spans="1:12" x14ac:dyDescent="0.2">
      <c r="A123" s="191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</row>
    <row r="124" spans="1:12" x14ac:dyDescent="0.2">
      <c r="A124" s="191"/>
      <c r="B124" s="189"/>
      <c r="C124" s="557" t="s">
        <v>151</v>
      </c>
      <c r="D124" s="271"/>
      <c r="E124" s="271" t="s">
        <v>74</v>
      </c>
      <c r="F124" s="271"/>
      <c r="G124" s="271" t="s">
        <v>154</v>
      </c>
      <c r="H124" s="579"/>
      <c r="I124" s="1233" t="s">
        <v>569</v>
      </c>
      <c r="J124" s="1233"/>
      <c r="K124" s="580"/>
      <c r="L124" s="581" t="s">
        <v>154</v>
      </c>
    </row>
    <row r="125" spans="1:12" ht="24" x14ac:dyDescent="0.2">
      <c r="A125" s="191"/>
      <c r="B125" s="558" t="s">
        <v>570</v>
      </c>
      <c r="C125" s="183">
        <v>2.2000000000000002</v>
      </c>
      <c r="D125" s="183" t="s">
        <v>22</v>
      </c>
      <c r="E125" s="183">
        <v>1.7</v>
      </c>
      <c r="F125" s="183" t="s">
        <v>23</v>
      </c>
      <c r="G125" s="183">
        <f>ROUND((C125*E125),2)</f>
        <v>3.74</v>
      </c>
      <c r="H125" s="563" t="s">
        <v>150</v>
      </c>
      <c r="I125" s="1233">
        <f>ROUND((0.9*0.9),2)</f>
        <v>0.81</v>
      </c>
      <c r="J125" s="1233"/>
      <c r="K125" s="563" t="s">
        <v>23</v>
      </c>
      <c r="L125" s="582">
        <f>G125-I125</f>
        <v>2.93</v>
      </c>
    </row>
    <row r="126" spans="1:12" ht="36" x14ac:dyDescent="0.2">
      <c r="A126" s="191"/>
      <c r="B126" s="558" t="s">
        <v>571</v>
      </c>
      <c r="C126" s="183">
        <v>2</v>
      </c>
      <c r="D126" s="183" t="s">
        <v>22</v>
      </c>
      <c r="E126" s="183">
        <v>2</v>
      </c>
      <c r="F126" s="183" t="s">
        <v>23</v>
      </c>
      <c r="G126" s="183">
        <f>ROUND((C126*E126),2)</f>
        <v>4</v>
      </c>
      <c r="H126" s="563" t="s">
        <v>150</v>
      </c>
      <c r="I126" s="1233">
        <f>ROUND((0.9*0.9),2)</f>
        <v>0.81</v>
      </c>
      <c r="J126" s="1233"/>
      <c r="K126" s="563" t="s">
        <v>23</v>
      </c>
      <c r="L126" s="582">
        <f>G126-I126</f>
        <v>3.19</v>
      </c>
    </row>
    <row r="127" spans="1:12" x14ac:dyDescent="0.2">
      <c r="A127" s="191"/>
      <c r="B127" s="189"/>
      <c r="C127" s="557" t="s">
        <v>572</v>
      </c>
      <c r="D127" s="271"/>
      <c r="E127" s="271" t="s">
        <v>74</v>
      </c>
      <c r="F127" s="271"/>
      <c r="G127" s="271" t="s">
        <v>154</v>
      </c>
      <c r="H127" s="583"/>
      <c r="I127" s="1237"/>
      <c r="J127" s="1237"/>
      <c r="K127" s="584"/>
      <c r="L127" s="584"/>
    </row>
    <row r="128" spans="1:12" ht="24" x14ac:dyDescent="0.2">
      <c r="A128" s="191"/>
      <c r="B128" s="558" t="s">
        <v>573</v>
      </c>
      <c r="C128" s="183">
        <f>(C125+E125)*2</f>
        <v>7.8000000000000007</v>
      </c>
      <c r="D128" s="183" t="s">
        <v>22</v>
      </c>
      <c r="E128" s="183">
        <v>0.1</v>
      </c>
      <c r="F128" s="183" t="s">
        <v>23</v>
      </c>
      <c r="G128" s="183">
        <f>ROUND((C128*E128),2)</f>
        <v>0.78</v>
      </c>
      <c r="H128" s="585"/>
      <c r="I128" s="1238"/>
      <c r="J128" s="1238"/>
      <c r="K128" s="555"/>
      <c r="L128" s="292"/>
    </row>
    <row r="129" spans="1:12" ht="24" x14ac:dyDescent="0.2">
      <c r="A129" s="191"/>
      <c r="B129" s="558" t="s">
        <v>574</v>
      </c>
      <c r="C129" s="183">
        <f>(C126+E126)*2</f>
        <v>8</v>
      </c>
      <c r="D129" s="183" t="s">
        <v>22</v>
      </c>
      <c r="E129" s="183">
        <v>0.1</v>
      </c>
      <c r="F129" s="183" t="s">
        <v>23</v>
      </c>
      <c r="G129" s="183">
        <f>ROUND((C129*E129),2)</f>
        <v>0.8</v>
      </c>
      <c r="H129" s="585"/>
      <c r="I129" s="1238"/>
      <c r="J129" s="1238"/>
      <c r="K129" s="555"/>
      <c r="L129" s="292"/>
    </row>
    <row r="130" spans="1:12" ht="15" x14ac:dyDescent="0.2">
      <c r="A130" s="191"/>
      <c r="B130" s="227"/>
      <c r="C130" s="555"/>
      <c r="D130" s="555"/>
      <c r="E130" s="555"/>
      <c r="F130" s="555"/>
      <c r="G130" s="292"/>
      <c r="H130" s="555"/>
      <c r="I130" s="555"/>
      <c r="J130" s="555"/>
      <c r="K130" s="292"/>
      <c r="L130" s="286"/>
    </row>
    <row r="131" spans="1:12" x14ac:dyDescent="0.2">
      <c r="A131" s="191"/>
      <c r="B131" s="242" t="s">
        <v>551</v>
      </c>
      <c r="C131" s="243">
        <f>SUM(L125:L126)+SUM(G128:G129)</f>
        <v>7.7</v>
      </c>
      <c r="D131" s="244" t="s">
        <v>4</v>
      </c>
      <c r="E131" s="286"/>
      <c r="F131" s="286"/>
      <c r="G131" s="286"/>
      <c r="H131" s="286"/>
      <c r="I131" s="286"/>
      <c r="J131" s="286"/>
      <c r="K131" s="286"/>
      <c r="L131" s="286"/>
    </row>
    <row r="132" spans="1:12" x14ac:dyDescent="0.2">
      <c r="A132" s="191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</row>
    <row r="133" spans="1:12" ht="15" x14ac:dyDescent="0.2">
      <c r="A133" s="181" t="str">
        <f>ORÇAMENTO!A93</f>
        <v>7.1.2.2</v>
      </c>
      <c r="B133" s="1231" t="str">
        <f>ORÇAMENTO!D93</f>
        <v>CONCRETO FCK = 20MPA, TRAÇO 1:2,7:3 (CIMENTO/ AREIA MÉDIA/ BRITA 1)  - PREPARO MECÂNICO COM BETONEIRA 600 L. AF_07/2016</v>
      </c>
      <c r="C133" s="1232"/>
      <c r="D133" s="1232"/>
      <c r="E133" s="1232"/>
      <c r="F133" s="1232"/>
      <c r="G133" s="1232"/>
      <c r="H133" s="1232"/>
      <c r="I133" s="1232"/>
      <c r="J133" s="1232"/>
      <c r="K133" s="1232"/>
      <c r="L133" s="1232"/>
    </row>
    <row r="134" spans="1:12" x14ac:dyDescent="0.2">
      <c r="A134" s="191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</row>
    <row r="135" spans="1:12" x14ac:dyDescent="0.2">
      <c r="A135" s="191"/>
      <c r="B135" s="1234" t="s">
        <v>575</v>
      </c>
      <c r="C135" s="1235"/>
      <c r="D135" s="1235"/>
      <c r="E135" s="1235"/>
      <c r="F135" s="1235"/>
      <c r="G135" s="1235"/>
      <c r="H135" s="1236"/>
      <c r="I135" s="286"/>
      <c r="J135" s="286"/>
      <c r="K135" s="286"/>
      <c r="L135" s="286"/>
    </row>
    <row r="136" spans="1:12" x14ac:dyDescent="0.2">
      <c r="A136" s="191"/>
      <c r="B136" s="271" t="s">
        <v>151</v>
      </c>
      <c r="C136" s="271"/>
      <c r="D136" s="271" t="s">
        <v>74</v>
      </c>
      <c r="E136" s="271"/>
      <c r="F136" s="271" t="s">
        <v>178</v>
      </c>
      <c r="G136" s="271"/>
      <c r="H136" s="271" t="s">
        <v>154</v>
      </c>
      <c r="I136" s="286"/>
      <c r="J136" s="286"/>
      <c r="K136" s="286"/>
      <c r="L136" s="286"/>
    </row>
    <row r="137" spans="1:12" x14ac:dyDescent="0.2">
      <c r="A137" s="191" t="s">
        <v>576</v>
      </c>
      <c r="B137" s="183">
        <f>C125</f>
        <v>2.2000000000000002</v>
      </c>
      <c r="C137" s="563" t="s">
        <v>22</v>
      </c>
      <c r="D137" s="183">
        <f>E125</f>
        <v>1.7</v>
      </c>
      <c r="E137" s="563" t="s">
        <v>22</v>
      </c>
      <c r="F137" s="183">
        <v>0.1</v>
      </c>
      <c r="G137" s="563" t="s">
        <v>23</v>
      </c>
      <c r="H137" s="183"/>
      <c r="I137" s="286"/>
      <c r="J137" s="286"/>
      <c r="K137" s="286"/>
      <c r="L137" s="286"/>
    </row>
    <row r="138" spans="1:12" x14ac:dyDescent="0.2">
      <c r="A138" s="191" t="s">
        <v>577</v>
      </c>
      <c r="B138" s="183">
        <f>C126</f>
        <v>2</v>
      </c>
      <c r="C138" s="563" t="s">
        <v>22</v>
      </c>
      <c r="D138" s="183">
        <f>E126</f>
        <v>2</v>
      </c>
      <c r="E138" s="563" t="s">
        <v>22</v>
      </c>
      <c r="F138" s="183">
        <v>0.1</v>
      </c>
      <c r="G138" s="563" t="s">
        <v>23</v>
      </c>
      <c r="H138" s="563">
        <f>F138*D138*B138</f>
        <v>0.4</v>
      </c>
      <c r="I138" s="286"/>
      <c r="J138" s="286"/>
      <c r="K138" s="286"/>
      <c r="L138" s="286"/>
    </row>
    <row r="139" spans="1:12" x14ac:dyDescent="0.2">
      <c r="A139" s="191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</row>
    <row r="140" spans="1:12" x14ac:dyDescent="0.2">
      <c r="A140" s="191"/>
      <c r="B140" s="242" t="s">
        <v>551</v>
      </c>
      <c r="C140" s="243">
        <f>SUM(H137:H138)</f>
        <v>0.4</v>
      </c>
      <c r="D140" s="244" t="s">
        <v>5</v>
      </c>
      <c r="E140" s="286"/>
      <c r="F140" s="286"/>
      <c r="G140" s="286"/>
      <c r="H140" s="286"/>
      <c r="I140" s="286"/>
      <c r="J140" s="286"/>
      <c r="K140" s="286"/>
      <c r="L140" s="286"/>
    </row>
    <row r="141" spans="1:12" x14ac:dyDescent="0.2">
      <c r="A141" s="191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</row>
    <row r="142" spans="1:12" ht="25.5" customHeight="1" x14ac:dyDescent="0.2">
      <c r="A142" s="181" t="str">
        <f>ORÇAMENTO!A94</f>
        <v>7.1.2.3</v>
      </c>
      <c r="B142" s="1231" t="str">
        <f>ORÇAMENTO!D94</f>
        <v>ARMAÇÃO DE PILAR OU VIGA DE UMA ESTRUTURA CONVENCIONAL DE CONCRETO ARMADO EM UMA EDIFICAÇÃO TÉRREA OU SOBRADO UTILIZANDO AÇO CA-50 DE 8,0 MM - MONTAGEM. AF_12/2015</v>
      </c>
      <c r="C142" s="1232"/>
      <c r="D142" s="1232"/>
      <c r="E142" s="1232"/>
      <c r="F142" s="1232"/>
      <c r="G142" s="1232"/>
      <c r="H142" s="1232"/>
      <c r="I142" s="1232"/>
      <c r="J142" s="1232"/>
      <c r="K142" s="1232"/>
      <c r="L142" s="1232"/>
    </row>
    <row r="143" spans="1:12" x14ac:dyDescent="0.2">
      <c r="A143" s="191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</row>
    <row r="144" spans="1:12" x14ac:dyDescent="0.2">
      <c r="A144" s="191"/>
      <c r="B144" s="209"/>
      <c r="C144" s="209"/>
      <c r="D144" s="247" t="s">
        <v>408</v>
      </c>
      <c r="E144" s="248" t="s">
        <v>562</v>
      </c>
      <c r="F144" s="240" t="s">
        <v>85</v>
      </c>
      <c r="G144" s="586"/>
      <c r="H144" s="190"/>
      <c r="I144" s="292"/>
      <c r="J144" s="292"/>
      <c r="K144" s="292"/>
      <c r="L144" s="286"/>
    </row>
    <row r="145" spans="1:12" x14ac:dyDescent="0.2">
      <c r="A145" s="191"/>
      <c r="B145" s="252" t="s">
        <v>539</v>
      </c>
      <c r="C145" s="253" t="s">
        <v>578</v>
      </c>
      <c r="D145" s="250" t="s">
        <v>413</v>
      </c>
      <c r="E145" s="251" t="s">
        <v>564</v>
      </c>
      <c r="F145" s="245">
        <v>14.6</v>
      </c>
      <c r="G145" s="586"/>
      <c r="H145" s="191"/>
      <c r="I145" s="292"/>
      <c r="J145" s="555"/>
      <c r="K145" s="292"/>
      <c r="L145" s="286"/>
    </row>
    <row r="146" spans="1:12" x14ac:dyDescent="0.2">
      <c r="A146" s="191"/>
      <c r="B146" s="254"/>
      <c r="C146" s="253" t="s">
        <v>578</v>
      </c>
      <c r="D146" s="255" t="s">
        <v>413</v>
      </c>
      <c r="E146" s="256" t="s">
        <v>564</v>
      </c>
      <c r="F146" s="245">
        <v>17.2</v>
      </c>
      <c r="G146" s="586"/>
      <c r="H146" s="191"/>
      <c r="I146" s="292"/>
      <c r="J146" s="555"/>
      <c r="K146" s="292"/>
      <c r="L146" s="286"/>
    </row>
    <row r="147" spans="1:12" x14ac:dyDescent="0.2">
      <c r="A147" s="191"/>
      <c r="B147" s="587"/>
      <c r="C147" s="568" t="s">
        <v>17</v>
      </c>
      <c r="D147" s="559"/>
      <c r="E147" s="588"/>
      <c r="F147" s="564">
        <f>SUM(F145:F146)</f>
        <v>31.799999999999997</v>
      </c>
      <c r="G147" s="565"/>
      <c r="H147" s="191"/>
      <c r="I147" s="292"/>
      <c r="J147" s="555"/>
      <c r="K147" s="292"/>
      <c r="L147" s="286"/>
    </row>
    <row r="148" spans="1:12" x14ac:dyDescent="0.2">
      <c r="A148" s="191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286"/>
    </row>
    <row r="149" spans="1:12" x14ac:dyDescent="0.2">
      <c r="A149" s="191"/>
      <c r="B149" s="242" t="s">
        <v>551</v>
      </c>
      <c r="C149" s="243">
        <f>F147</f>
        <v>31.799999999999997</v>
      </c>
      <c r="D149" s="244" t="s">
        <v>136</v>
      </c>
      <c r="E149" s="572"/>
      <c r="F149" s="572"/>
      <c r="G149" s="572"/>
      <c r="H149" s="572"/>
      <c r="I149" s="572"/>
      <c r="J149" s="572"/>
      <c r="K149" s="572"/>
      <c r="L149" s="286"/>
    </row>
    <row r="150" spans="1:12" x14ac:dyDescent="0.2">
      <c r="A150" s="191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</row>
    <row r="151" spans="1:12" ht="13.5" customHeight="1" x14ac:dyDescent="0.2">
      <c r="A151" s="181" t="str">
        <f>ORÇAMENTO!A95</f>
        <v>7.1.2.4</v>
      </c>
      <c r="B151" s="589" t="str">
        <f>ORÇAMENTO!D95</f>
        <v>LANÇAMENTO COM USO DE BALDES, ADENSAMENTO E ACABAMENTO DE CONCRETO EM ESTRUTURAS. AF_02/2022</v>
      </c>
      <c r="C151" s="578"/>
      <c r="D151" s="578"/>
      <c r="E151" s="578"/>
      <c r="F151" s="578"/>
      <c r="G151" s="578"/>
      <c r="H151" s="578"/>
      <c r="I151" s="578"/>
      <c r="J151" s="578"/>
      <c r="K151" s="578"/>
      <c r="L151" s="578"/>
    </row>
    <row r="152" spans="1:12" ht="13.5" customHeight="1" x14ac:dyDescent="0.2">
      <c r="A152" s="181"/>
      <c r="B152" s="578"/>
      <c r="C152" s="578"/>
      <c r="D152" s="578"/>
      <c r="E152" s="578"/>
      <c r="F152" s="578"/>
      <c r="G152" s="578"/>
      <c r="H152" s="578"/>
      <c r="I152" s="578"/>
      <c r="J152" s="578"/>
      <c r="K152" s="578"/>
      <c r="L152" s="578"/>
    </row>
    <row r="153" spans="1:12" ht="13.5" customHeight="1" x14ac:dyDescent="0.25">
      <c r="A153" s="181"/>
      <c r="B153" s="590" t="s">
        <v>568</v>
      </c>
      <c r="C153" s="590"/>
      <c r="D153" s="591" t="str">
        <f>A133</f>
        <v>7.1.2.2</v>
      </c>
      <c r="E153" s="189"/>
      <c r="F153" s="189"/>
      <c r="G153" s="189"/>
      <c r="H153" s="189"/>
      <c r="I153" s="578"/>
      <c r="J153" s="578"/>
      <c r="K153" s="578"/>
      <c r="L153" s="578"/>
    </row>
    <row r="154" spans="1:12" ht="13.5" customHeight="1" x14ac:dyDescent="0.2">
      <c r="A154" s="181"/>
      <c r="B154" s="286"/>
      <c r="C154" s="286"/>
      <c r="D154" s="286"/>
      <c r="E154" s="286"/>
      <c r="F154" s="286"/>
      <c r="G154" s="286"/>
      <c r="H154" s="286"/>
      <c r="I154" s="578"/>
      <c r="J154" s="578"/>
      <c r="K154" s="578"/>
      <c r="L154" s="578"/>
    </row>
    <row r="155" spans="1:12" ht="13.5" customHeight="1" x14ac:dyDescent="0.2">
      <c r="A155" s="239"/>
      <c r="B155" s="242" t="s">
        <v>551</v>
      </c>
      <c r="C155" s="257">
        <f>C140</f>
        <v>0.4</v>
      </c>
      <c r="D155" s="244" t="s">
        <v>5</v>
      </c>
      <c r="E155" s="286"/>
      <c r="F155" s="286"/>
      <c r="G155" s="286"/>
      <c r="H155" s="286"/>
      <c r="I155" s="578"/>
      <c r="J155" s="578"/>
      <c r="K155" s="578"/>
      <c r="L155" s="578"/>
    </row>
    <row r="156" spans="1:12" ht="13.5" customHeight="1" x14ac:dyDescent="0.2">
      <c r="A156" s="181"/>
      <c r="B156" s="578"/>
      <c r="C156" s="578"/>
      <c r="D156" s="578"/>
      <c r="E156" s="578"/>
      <c r="F156" s="578"/>
      <c r="G156" s="578"/>
      <c r="H156" s="578"/>
      <c r="I156" s="578"/>
      <c r="J156" s="578"/>
      <c r="K156" s="578"/>
      <c r="L156" s="578"/>
    </row>
    <row r="157" spans="1:12" ht="13.5" customHeight="1" x14ac:dyDescent="0.2">
      <c r="A157" s="181"/>
      <c r="B157" s="1232" t="str">
        <f>ORÇAMENTO!D96</f>
        <v>BASE DA BOMBA</v>
      </c>
      <c r="C157" s="1232"/>
      <c r="D157" s="578"/>
      <c r="E157" s="578"/>
      <c r="F157" s="578"/>
      <c r="G157" s="578"/>
      <c r="H157" s="578"/>
      <c r="I157" s="286"/>
      <c r="J157" s="578"/>
      <c r="K157" s="578"/>
      <c r="L157" s="578"/>
    </row>
    <row r="158" spans="1:12" ht="30.75" customHeight="1" x14ac:dyDescent="0.2">
      <c r="A158" s="181" t="str">
        <f>ORÇAMENTO!A97</f>
        <v>7.1.3.1</v>
      </c>
      <c r="B158" s="1231" t="str">
        <f>ORÇAMENTO!D97</f>
        <v xml:space="preserve">MONTAGEM E DESMONTAGEM DE FÔRMA DE LAJE MACIÇA, PÉ-DIREITO SIMPLES, EM CHAPA DE MADEIRA COMPENSADA RESINADA, 4 UTILIZAÇÕES. AF_09/2020	</v>
      </c>
      <c r="C158" s="1232"/>
      <c r="D158" s="1232"/>
      <c r="E158" s="1232"/>
      <c r="F158" s="1232"/>
      <c r="G158" s="1232"/>
      <c r="H158" s="1232"/>
      <c r="I158" s="1232"/>
      <c r="J158" s="1232"/>
      <c r="K158" s="1232"/>
      <c r="L158" s="1232"/>
    </row>
    <row r="159" spans="1:12" ht="13.5" customHeight="1" x14ac:dyDescent="0.2">
      <c r="A159" s="181"/>
      <c r="B159" s="594"/>
      <c r="C159" s="578"/>
      <c r="D159" s="578"/>
      <c r="E159" s="578"/>
      <c r="F159" s="578"/>
      <c r="G159" s="578"/>
      <c r="H159" s="578"/>
      <c r="I159" s="578"/>
      <c r="J159" s="578"/>
      <c r="K159" s="578"/>
      <c r="L159" s="578"/>
    </row>
    <row r="160" spans="1:12" ht="13.5" customHeight="1" x14ac:dyDescent="0.2">
      <c r="A160" s="181"/>
      <c r="B160" s="277" t="s">
        <v>579</v>
      </c>
      <c r="C160" s="278"/>
      <c r="D160" s="278"/>
      <c r="E160" s="278"/>
      <c r="F160" s="279"/>
      <c r="G160" s="286"/>
      <c r="H160" s="286"/>
      <c r="I160" s="578"/>
      <c r="J160" s="578"/>
      <c r="K160" s="578"/>
      <c r="L160" s="578"/>
    </row>
    <row r="161" spans="1:12" ht="13.5" customHeight="1" x14ac:dyDescent="0.2">
      <c r="A161" s="181"/>
      <c r="B161" s="183" t="s">
        <v>156</v>
      </c>
      <c r="C161" s="183"/>
      <c r="D161" s="183" t="s">
        <v>75</v>
      </c>
      <c r="E161" s="183"/>
      <c r="F161" s="183" t="s">
        <v>154</v>
      </c>
      <c r="G161" s="183"/>
      <c r="H161" s="183" t="s">
        <v>580</v>
      </c>
      <c r="I161" s="578"/>
      <c r="J161" s="578"/>
      <c r="K161" s="578"/>
      <c r="L161" s="578"/>
    </row>
    <row r="162" spans="1:12" ht="13.5" customHeight="1" x14ac:dyDescent="0.2">
      <c r="A162" s="181"/>
      <c r="B162" s="563">
        <f>0.65+0.65+0.5+0.5</f>
        <v>2.2999999999999998</v>
      </c>
      <c r="C162" s="563" t="s">
        <v>22</v>
      </c>
      <c r="D162" s="563">
        <v>0.25</v>
      </c>
      <c r="E162" s="563" t="s">
        <v>23</v>
      </c>
      <c r="F162" s="563">
        <f>B162*D162</f>
        <v>0.57499999999999996</v>
      </c>
      <c r="G162" s="563" t="s">
        <v>22</v>
      </c>
      <c r="H162" s="563">
        <v>2</v>
      </c>
      <c r="I162" s="578"/>
      <c r="J162" s="578"/>
      <c r="K162" s="578"/>
      <c r="L162" s="578"/>
    </row>
    <row r="163" spans="1:12" ht="13.5" customHeight="1" x14ac:dyDescent="0.2">
      <c r="A163" s="181"/>
      <c r="B163" s="286"/>
      <c r="C163" s="286"/>
      <c r="D163" s="286"/>
      <c r="E163" s="286"/>
      <c r="F163" s="286"/>
      <c r="G163" s="286"/>
      <c r="H163" s="286"/>
      <c r="I163" s="578"/>
      <c r="J163" s="578"/>
      <c r="K163" s="578"/>
      <c r="L163" s="578"/>
    </row>
    <row r="164" spans="1:12" ht="13.5" customHeight="1" x14ac:dyDescent="0.2">
      <c r="A164" s="181"/>
      <c r="B164" s="242" t="s">
        <v>551</v>
      </c>
      <c r="C164" s="243">
        <f>F162*H162</f>
        <v>1.1499999999999999</v>
      </c>
      <c r="D164" s="244" t="s">
        <v>4</v>
      </c>
      <c r="E164" s="286"/>
      <c r="F164" s="286"/>
      <c r="G164" s="286"/>
      <c r="H164" s="286"/>
      <c r="I164" s="578"/>
      <c r="J164" s="578"/>
      <c r="K164" s="578"/>
      <c r="L164" s="578"/>
    </row>
    <row r="165" spans="1:12" ht="13.5" customHeight="1" x14ac:dyDescent="0.2">
      <c r="A165" s="181"/>
      <c r="B165" s="578"/>
      <c r="C165" s="578"/>
      <c r="D165" s="578"/>
      <c r="E165" s="578"/>
      <c r="F165" s="578"/>
      <c r="G165" s="578"/>
      <c r="H165" s="578"/>
      <c r="I165" s="578"/>
      <c r="J165" s="578"/>
      <c r="K165" s="578"/>
      <c r="L165" s="578"/>
    </row>
    <row r="166" spans="1:12" ht="15" customHeight="1" x14ac:dyDescent="0.2">
      <c r="A166" s="181" t="str">
        <f>ORÇAMENTO!A98</f>
        <v>7.1.3.2</v>
      </c>
      <c r="B166" s="1231" t="str">
        <f>ORÇAMENTO!D98</f>
        <v>CONCRETO CICLÓPICO FCK = 15MPA, 30% PEDRA DE MÃO EM VOLUME REAL, INCLUSIVE LANÇAMENTO. AF_05/2021</v>
      </c>
      <c r="C166" s="1232"/>
      <c r="D166" s="1232"/>
      <c r="E166" s="1232"/>
      <c r="F166" s="1232"/>
      <c r="G166" s="1232"/>
      <c r="H166" s="1232"/>
      <c r="I166" s="1232"/>
      <c r="J166" s="1232"/>
      <c r="K166" s="1232"/>
      <c r="L166" s="1232"/>
    </row>
    <row r="167" spans="1:12" ht="15" x14ac:dyDescent="0.2">
      <c r="A167" s="181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</row>
    <row r="168" spans="1:12" x14ac:dyDescent="0.2">
      <c r="A168" s="191"/>
      <c r="B168" s="1234" t="s">
        <v>579</v>
      </c>
      <c r="C168" s="1235"/>
      <c r="D168" s="1235"/>
      <c r="E168" s="1235"/>
      <c r="F168" s="1235"/>
      <c r="G168" s="1235"/>
      <c r="H168" s="1236"/>
      <c r="I168" s="286"/>
      <c r="J168" s="286"/>
      <c r="K168" s="286"/>
      <c r="L168" s="286"/>
    </row>
    <row r="169" spans="1:12" x14ac:dyDescent="0.2">
      <c r="A169" s="191"/>
      <c r="B169" s="183" t="s">
        <v>106</v>
      </c>
      <c r="C169" s="183"/>
      <c r="D169" s="183" t="s">
        <v>152</v>
      </c>
      <c r="E169" s="183"/>
      <c r="F169" s="183" t="s">
        <v>98</v>
      </c>
      <c r="G169" s="183"/>
      <c r="H169" s="183" t="s">
        <v>154</v>
      </c>
      <c r="I169" s="183"/>
      <c r="J169" s="183" t="s">
        <v>580</v>
      </c>
      <c r="K169" s="286"/>
      <c r="L169" s="286"/>
    </row>
    <row r="170" spans="1:12" x14ac:dyDescent="0.2">
      <c r="A170" s="191"/>
      <c r="B170" s="563">
        <v>0.65</v>
      </c>
      <c r="C170" s="563" t="s">
        <v>22</v>
      </c>
      <c r="D170" s="563">
        <v>0.5</v>
      </c>
      <c r="E170" s="563" t="s">
        <v>22</v>
      </c>
      <c r="F170" s="563">
        <v>0.3</v>
      </c>
      <c r="G170" s="563" t="s">
        <v>23</v>
      </c>
      <c r="H170" s="563">
        <f>B170*D170*F170</f>
        <v>9.7500000000000003E-2</v>
      </c>
      <c r="I170" s="563" t="s">
        <v>22</v>
      </c>
      <c r="J170" s="563">
        <v>2</v>
      </c>
      <c r="K170" s="286"/>
      <c r="L170" s="286"/>
    </row>
    <row r="171" spans="1:12" x14ac:dyDescent="0.2">
      <c r="A171" s="191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</row>
    <row r="172" spans="1:12" x14ac:dyDescent="0.2">
      <c r="A172" s="191"/>
      <c r="B172" s="242" t="s">
        <v>551</v>
      </c>
      <c r="C172" s="243">
        <f>H170*J170</f>
        <v>0.19500000000000001</v>
      </c>
      <c r="D172" s="244" t="s">
        <v>5</v>
      </c>
      <c r="E172" s="286"/>
      <c r="F172" s="286"/>
      <c r="G172" s="286"/>
      <c r="H172" s="286"/>
      <c r="I172" s="286"/>
      <c r="J172" s="286"/>
      <c r="K172" s="286"/>
      <c r="L172" s="286"/>
    </row>
    <row r="173" spans="1:12" ht="13.5" customHeight="1" x14ac:dyDescent="0.2">
      <c r="A173" s="191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</row>
    <row r="174" spans="1:12" x14ac:dyDescent="0.2">
      <c r="A174" s="191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</row>
    <row r="175" spans="1:12" ht="18" customHeight="1" x14ac:dyDescent="0.2">
      <c r="A175" s="181"/>
      <c r="B175" s="594" t="str">
        <f>ORÇAMENTO!D99</f>
        <v>ESCOTILHA DA ENTRADA DA CASA DE BOMBA, FILTRO E CISTERNA</v>
      </c>
      <c r="C175" s="594"/>
      <c r="D175" s="594"/>
      <c r="E175" s="594"/>
      <c r="F175" s="594"/>
      <c r="G175" s="594"/>
      <c r="H175" s="594"/>
      <c r="I175" s="594"/>
      <c r="J175" s="594"/>
      <c r="K175" s="594"/>
      <c r="L175" s="594"/>
    </row>
    <row r="176" spans="1:12" ht="18" customHeight="1" x14ac:dyDescent="0.2">
      <c r="A176" s="181"/>
      <c r="B176" s="578"/>
      <c r="C176" s="578"/>
      <c r="D176" s="578"/>
      <c r="E176" s="578"/>
      <c r="F176" s="578"/>
      <c r="G176" s="578"/>
      <c r="H176" s="578"/>
      <c r="I176" s="578"/>
      <c r="J176" s="578"/>
      <c r="K176" s="578"/>
      <c r="L176" s="578"/>
    </row>
    <row r="177" spans="1:12" ht="18" customHeight="1" x14ac:dyDescent="0.2">
      <c r="A177" s="181" t="str">
        <f>ORÇAMENTO!A100</f>
        <v>7.1.4.1</v>
      </c>
      <c r="B177" s="595" t="str">
        <f>ORÇAMENTO!D100</f>
        <v>TAMPA EM ESTRUTURA DE AÇO (CANTONEIRA 2"X2"X1/4" E CHAPA GSG 1,95MM) - PARA CASA DE BOMBA</v>
      </c>
      <c r="C177" s="594"/>
      <c r="D177" s="594"/>
      <c r="E177" s="594"/>
      <c r="F177" s="594"/>
      <c r="G177" s="594"/>
      <c r="H177" s="594"/>
      <c r="I177" s="594"/>
      <c r="J177" s="594"/>
      <c r="K177" s="594"/>
      <c r="L177" s="594"/>
    </row>
    <row r="178" spans="1:12" x14ac:dyDescent="0.2">
      <c r="A178" s="191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</row>
    <row r="179" spans="1:12" x14ac:dyDescent="0.2">
      <c r="A179" s="191"/>
      <c r="B179" s="242" t="s">
        <v>551</v>
      </c>
      <c r="C179" s="246">
        <v>2</v>
      </c>
      <c r="D179" s="244" t="s">
        <v>11</v>
      </c>
      <c r="E179" s="138"/>
      <c r="F179" s="286"/>
      <c r="G179" s="286"/>
      <c r="H179" s="286"/>
      <c r="I179" s="286"/>
      <c r="J179" s="286"/>
      <c r="K179" s="286"/>
      <c r="L179" s="286"/>
    </row>
    <row r="180" spans="1:12" x14ac:dyDescent="0.2">
      <c r="A180" s="191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</row>
    <row r="181" spans="1:12" ht="30" customHeight="1" x14ac:dyDescent="0.2">
      <c r="A181" s="181" t="str">
        <f>ORÇAMENTO!A101</f>
        <v>7.1.4.2</v>
      </c>
      <c r="B181" s="1231" t="str">
        <f>ORÇAMENTO!D101</f>
        <v>TAMPA EM ESTRUTURA DE AÇO (CANTONEIRA 2"X2"X1/4" E CHAPA GSG 1,95MM) COM APOIO EM CONCRETO - PARA CASA DE FILTRO E CISTERNA</v>
      </c>
      <c r="C181" s="1232"/>
      <c r="D181" s="1232"/>
      <c r="E181" s="1232"/>
      <c r="F181" s="1232"/>
      <c r="G181" s="1232"/>
      <c r="H181" s="1232"/>
      <c r="I181" s="1232"/>
      <c r="J181" s="1232"/>
      <c r="K181" s="1232"/>
      <c r="L181" s="1232"/>
    </row>
    <row r="182" spans="1:12" x14ac:dyDescent="0.2">
      <c r="A182" s="191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</row>
    <row r="183" spans="1:12" x14ac:dyDescent="0.2">
      <c r="A183" s="191"/>
      <c r="B183" s="242" t="s">
        <v>551</v>
      </c>
      <c r="C183" s="246">
        <v>2</v>
      </c>
      <c r="D183" s="244" t="s">
        <v>11</v>
      </c>
      <c r="E183" s="286"/>
      <c r="F183" s="286"/>
      <c r="G183" s="286"/>
      <c r="H183" s="286"/>
      <c r="I183" s="286"/>
      <c r="J183" s="286"/>
      <c r="K183" s="286"/>
      <c r="L183" s="286"/>
    </row>
    <row r="184" spans="1:12" x14ac:dyDescent="0.2">
      <c r="A184" s="191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</row>
    <row r="185" spans="1:12" ht="16.5" customHeight="1" x14ac:dyDescent="0.2">
      <c r="A185" s="181" t="str">
        <f>ORÇAMENTO!A102</f>
        <v>7.1.4.3</v>
      </c>
      <c r="B185" s="551" t="str">
        <f>ORÇAMENTO!D102</f>
        <v>PORTA CADEADO ZINCADO OXIDADO PRETO COM CADEADO DE AÇO INOX, LARGURA DE *50* MM. AF_12/2019</v>
      </c>
      <c r="C185" s="550"/>
      <c r="D185" s="550"/>
      <c r="E185" s="550"/>
      <c r="F185" s="550"/>
      <c r="G185" s="550"/>
      <c r="H185" s="550"/>
      <c r="I185" s="550"/>
      <c r="J185" s="550"/>
      <c r="K185" s="550"/>
      <c r="L185" s="550"/>
    </row>
    <row r="186" spans="1:12" x14ac:dyDescent="0.2">
      <c r="A186" s="191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</row>
    <row r="187" spans="1:12" x14ac:dyDescent="0.2">
      <c r="A187" s="191"/>
      <c r="B187" s="242" t="s">
        <v>551</v>
      </c>
      <c r="C187" s="325">
        <v>12</v>
      </c>
      <c r="D187" s="326" t="s">
        <v>11</v>
      </c>
      <c r="E187" s="286"/>
      <c r="F187" s="286"/>
      <c r="G187" s="286"/>
      <c r="H187" s="286"/>
      <c r="I187" s="286"/>
      <c r="J187" s="286"/>
      <c r="K187" s="286"/>
      <c r="L187" s="286"/>
    </row>
    <row r="188" spans="1:12" x14ac:dyDescent="0.2">
      <c r="A188" s="191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</row>
    <row r="189" spans="1:12" ht="31.5" customHeight="1" x14ac:dyDescent="0.2">
      <c r="A189" s="181"/>
      <c r="B189" s="596"/>
      <c r="C189" s="596"/>
      <c r="D189" s="596"/>
      <c r="E189" s="596"/>
      <c r="F189" s="596"/>
      <c r="G189" s="596"/>
      <c r="H189" s="596"/>
      <c r="I189" s="596"/>
      <c r="J189" s="596"/>
      <c r="K189" s="596"/>
      <c r="L189" s="596"/>
    </row>
    <row r="190" spans="1:12" ht="15" customHeight="1" x14ac:dyDescent="0.2">
      <c r="A190" s="181"/>
      <c r="B190" s="596" t="str">
        <f>ORÇAMENTO!D103</f>
        <v>DRENAGEM</v>
      </c>
      <c r="C190" s="596"/>
      <c r="D190" s="596"/>
      <c r="E190" s="596"/>
      <c r="F190" s="596"/>
      <c r="G190" s="596"/>
      <c r="H190" s="596"/>
      <c r="I190" s="596"/>
      <c r="J190" s="596"/>
      <c r="K190" s="596"/>
      <c r="L190" s="596"/>
    </row>
    <row r="191" spans="1:12" ht="15" customHeight="1" x14ac:dyDescent="0.2">
      <c r="A191" s="181"/>
      <c r="B191" s="578"/>
      <c r="C191" s="578"/>
      <c r="D191" s="578"/>
      <c r="E191" s="578"/>
      <c r="F191" s="578"/>
      <c r="G191" s="578"/>
      <c r="H191" s="578"/>
      <c r="I191" s="578"/>
      <c r="J191" s="578"/>
      <c r="K191" s="578"/>
      <c r="L191" s="578"/>
    </row>
    <row r="192" spans="1:12" ht="33" customHeight="1" x14ac:dyDescent="0.2">
      <c r="A192" s="181" t="str">
        <f>ORÇAMENTO!A104</f>
        <v>7.2.1</v>
      </c>
      <c r="B192" s="1232" t="str">
        <f>ORÇAMENTO!D104</f>
        <v>CALHA DE CONCRETO, 40X20 CM, ESPESSURA 8 CM PREPARADA EM BETONEIRA COM CIMENTADO LISO EXECUTADO COM ARGAMASSA TRACO 1:4 (CIMENTO E AREIA MEDIA NAO PENEIRADA), INCLUINDO GRELHA FIXA EM FERRO GALV PREPARO MANUAL</v>
      </c>
      <c r="C192" s="1232"/>
      <c r="D192" s="1232"/>
      <c r="E192" s="1232"/>
      <c r="F192" s="1232"/>
      <c r="G192" s="1232"/>
      <c r="H192" s="1232"/>
      <c r="I192" s="1232"/>
      <c r="J192" s="1232"/>
      <c r="K192" s="1232"/>
      <c r="L192" s="1232"/>
    </row>
    <row r="193" spans="1:12" ht="15" customHeight="1" x14ac:dyDescent="0.2">
      <c r="A193" s="592"/>
      <c r="B193" s="597"/>
      <c r="C193" s="596"/>
      <c r="D193" s="596"/>
      <c r="E193" s="596"/>
      <c r="F193" s="596"/>
      <c r="G193" s="596"/>
      <c r="H193" s="596"/>
      <c r="I193" s="596"/>
      <c r="J193" s="596"/>
      <c r="K193" s="596"/>
      <c r="L193" s="596"/>
    </row>
    <row r="194" spans="1:12" ht="15" customHeight="1" x14ac:dyDescent="0.2">
      <c r="A194" s="593" t="s">
        <v>584</v>
      </c>
      <c r="B194" s="598" t="s">
        <v>585</v>
      </c>
      <c r="C194" s="599"/>
      <c r="D194" s="599"/>
      <c r="E194" s="599">
        <f>27.72+19.87+6.42+11.15+8.72+31.57</f>
        <v>105.45000000000002</v>
      </c>
      <c r="F194" s="599"/>
      <c r="G194" s="578"/>
      <c r="H194" s="578"/>
      <c r="I194" s="578"/>
      <c r="J194" s="578"/>
      <c r="K194" s="578"/>
      <c r="L194" s="578"/>
    </row>
    <row r="195" spans="1:12" ht="15" customHeight="1" x14ac:dyDescent="0.2">
      <c r="A195" s="181"/>
      <c r="B195" s="578"/>
      <c r="C195" s="578"/>
      <c r="D195" s="578"/>
      <c r="E195" s="578"/>
      <c r="F195" s="578"/>
      <c r="G195" s="578"/>
      <c r="H195" s="578"/>
      <c r="I195" s="578"/>
      <c r="J195" s="578"/>
      <c r="K195" s="578"/>
      <c r="L195" s="578"/>
    </row>
    <row r="196" spans="1:12" ht="15" customHeight="1" x14ac:dyDescent="0.2">
      <c r="A196" s="181"/>
      <c r="B196" s="242" t="s">
        <v>551</v>
      </c>
      <c r="C196" s="243">
        <f>E194</f>
        <v>105.45000000000002</v>
      </c>
      <c r="D196" s="244" t="s">
        <v>5</v>
      </c>
      <c r="E196" s="578"/>
      <c r="F196" s="578"/>
      <c r="G196" s="578"/>
      <c r="H196" s="578"/>
      <c r="I196" s="578"/>
      <c r="J196" s="578"/>
      <c r="K196" s="578"/>
      <c r="L196" s="578"/>
    </row>
    <row r="197" spans="1:12" ht="15" customHeight="1" x14ac:dyDescent="0.2">
      <c r="A197" s="181"/>
      <c r="B197" s="578"/>
      <c r="C197" s="578"/>
      <c r="D197" s="578"/>
      <c r="E197" s="578"/>
      <c r="F197" s="578"/>
      <c r="G197" s="578"/>
      <c r="H197" s="578"/>
      <c r="I197" s="578"/>
      <c r="J197" s="578"/>
      <c r="K197" s="578"/>
      <c r="L197" s="578"/>
    </row>
    <row r="198" spans="1:12" ht="15" x14ac:dyDescent="0.2">
      <c r="A198" s="266" t="str">
        <f>ORÇAMENTO!A105</f>
        <v>7.3</v>
      </c>
      <c r="B198" s="226" t="str">
        <f>ORÇAMENTO!D105</f>
        <v>INSTALAÇÕES HIDRÁULICAS</v>
      </c>
      <c r="C198" s="284"/>
      <c r="D198" s="284"/>
      <c r="E198" s="284"/>
      <c r="F198" s="284"/>
      <c r="G198" s="284"/>
      <c r="H198" s="284"/>
      <c r="I198" s="284"/>
      <c r="J198" s="284"/>
      <c r="K198" s="284"/>
      <c r="L198" s="284"/>
    </row>
    <row r="199" spans="1:12" ht="15" x14ac:dyDescent="0.2">
      <c r="A199" s="266" t="str">
        <f>ORÇAMENTO!A106</f>
        <v>7.3.1</v>
      </c>
      <c r="B199" s="226" t="str">
        <f>ORÇAMENTO!D106</f>
        <v>FONTE INTERATIVA / CASA DE BOMBA</v>
      </c>
      <c r="C199" s="284"/>
      <c r="D199" s="284"/>
      <c r="E199" s="284"/>
      <c r="F199" s="284"/>
      <c r="G199" s="284"/>
      <c r="H199" s="284"/>
      <c r="I199" s="284"/>
      <c r="J199" s="284"/>
      <c r="K199" s="284"/>
      <c r="L199" s="284"/>
    </row>
    <row r="200" spans="1:12" ht="15" x14ac:dyDescent="0.2">
      <c r="A200" s="266" t="str">
        <f>ORÇAMENTO!A107</f>
        <v>7.3.1.1</v>
      </c>
      <c r="B200" s="226" t="str">
        <f>ORÇAMENTO!D107</f>
        <v>TUBO, PVC, SOLDÁVEL, DN 25MM, INSTALADO EM PRUMADA DE ÁGUA - FORNECIMENTO E INSTALAÇÃO. AF_12/2014</v>
      </c>
      <c r="C200" s="284"/>
      <c r="D200" s="284"/>
      <c r="E200" s="284"/>
      <c r="F200" s="284"/>
      <c r="G200" s="284"/>
      <c r="H200" s="284"/>
      <c r="I200" s="284"/>
      <c r="J200" s="284"/>
      <c r="K200" s="284"/>
      <c r="L200" s="284"/>
    </row>
    <row r="201" spans="1:12" ht="15" x14ac:dyDescent="0.2">
      <c r="A201" s="266"/>
      <c r="B201" s="284"/>
      <c r="C201" s="274"/>
      <c r="D201" s="284"/>
      <c r="E201" s="284"/>
      <c r="F201" s="284"/>
      <c r="G201" s="284"/>
      <c r="H201" s="284"/>
      <c r="I201" s="284"/>
      <c r="J201" s="284"/>
      <c r="K201" s="284"/>
      <c r="L201" s="284"/>
    </row>
    <row r="202" spans="1:12" x14ac:dyDescent="0.2">
      <c r="A202" s="189"/>
      <c r="B202" s="327" t="s">
        <v>1066</v>
      </c>
      <c r="C202" s="325">
        <v>24.15</v>
      </c>
      <c r="D202" s="326" t="s">
        <v>13</v>
      </c>
      <c r="E202" s="189"/>
      <c r="F202" s="189"/>
      <c r="G202" s="189"/>
      <c r="H202" s="189"/>
      <c r="I202" s="189"/>
      <c r="J202" s="189"/>
      <c r="K202" s="189"/>
      <c r="L202" s="189"/>
    </row>
    <row r="203" spans="1:12" ht="15" x14ac:dyDescent="0.2">
      <c r="A203" s="266"/>
      <c r="B203" s="226"/>
      <c r="C203" s="284"/>
      <c r="D203" s="284"/>
      <c r="E203" s="284"/>
      <c r="F203" s="284"/>
      <c r="G203" s="284"/>
      <c r="H203" s="284"/>
      <c r="I203" s="284"/>
      <c r="J203" s="284"/>
      <c r="K203" s="284"/>
      <c r="L203" s="284"/>
    </row>
    <row r="204" spans="1:12" ht="15" x14ac:dyDescent="0.2">
      <c r="A204" s="266" t="str">
        <f>ORÇAMENTO!A108</f>
        <v>7.3.1.2</v>
      </c>
      <c r="B204" s="226" t="str">
        <f>ORÇAMENTO!D108</f>
        <v>TUBO, PVC, SOLDÁVEL, DN 32MM, INSTALADO EM PRUMADA DE ÁGUA - FORNECIMENTO E INSTALAÇÃO. AF_12/2014</v>
      </c>
      <c r="C204" s="284"/>
      <c r="D204" s="284"/>
      <c r="E204" s="284"/>
      <c r="F204" s="284"/>
      <c r="G204" s="284"/>
      <c r="H204" s="284"/>
      <c r="I204" s="284"/>
      <c r="J204" s="284"/>
      <c r="K204" s="284"/>
      <c r="L204" s="284"/>
    </row>
    <row r="205" spans="1:12" ht="15" x14ac:dyDescent="0.2">
      <c r="A205" s="266"/>
      <c r="B205" s="226"/>
      <c r="C205" s="284"/>
      <c r="D205" s="284"/>
      <c r="E205" s="284"/>
      <c r="F205" s="284"/>
      <c r="G205" s="284"/>
      <c r="H205" s="284"/>
      <c r="I205" s="284"/>
      <c r="J205" s="284"/>
      <c r="K205" s="284"/>
      <c r="L205" s="284"/>
    </row>
    <row r="206" spans="1:12" x14ac:dyDescent="0.2">
      <c r="A206" s="189"/>
      <c r="B206" s="327" t="s">
        <v>1066</v>
      </c>
      <c r="C206" s="325">
        <v>26.25</v>
      </c>
      <c r="D206" s="326" t="s">
        <v>13</v>
      </c>
      <c r="F206" s="189"/>
      <c r="G206" s="189"/>
      <c r="H206" s="189"/>
      <c r="I206" s="189"/>
      <c r="J206" s="189"/>
      <c r="K206" s="189"/>
      <c r="L206" s="189"/>
    </row>
    <row r="207" spans="1:12" ht="15" x14ac:dyDescent="0.2">
      <c r="A207" s="266"/>
      <c r="B207" s="226"/>
      <c r="C207" s="284"/>
      <c r="D207" s="284"/>
      <c r="E207" s="284"/>
      <c r="F207" s="284"/>
      <c r="G207" s="284"/>
      <c r="H207" s="284"/>
      <c r="I207" s="284"/>
      <c r="J207" s="284"/>
      <c r="K207" s="284"/>
      <c r="L207" s="284"/>
    </row>
    <row r="208" spans="1:12" ht="15" x14ac:dyDescent="0.2">
      <c r="A208" s="266" t="str">
        <f>ORÇAMENTO!A109</f>
        <v>7.3.1.3</v>
      </c>
      <c r="B208" s="226" t="str">
        <f>ORÇAMENTO!D109</f>
        <v>TUBO, PVC, SOLDÁVEL, DN 40MM, INSTALADO EM PRUMADA DE ÁGUA - FORNECIMENTO E INSTALAÇÃO. AF_12/2014</v>
      </c>
      <c r="C208" s="284"/>
      <c r="D208" s="284"/>
      <c r="E208" s="284"/>
      <c r="F208" s="284"/>
      <c r="G208" s="284"/>
      <c r="H208" s="284"/>
      <c r="I208" s="284"/>
      <c r="J208" s="284"/>
      <c r="K208" s="284"/>
      <c r="L208" s="284"/>
    </row>
    <row r="209" spans="1:12" ht="15" x14ac:dyDescent="0.2">
      <c r="A209" s="266"/>
      <c r="B209" s="226"/>
      <c r="C209" s="284"/>
      <c r="D209" s="284"/>
      <c r="E209" s="284"/>
      <c r="F209" s="284"/>
      <c r="G209" s="284"/>
      <c r="H209" s="284"/>
      <c r="I209" s="284"/>
      <c r="J209" s="284"/>
      <c r="K209" s="284"/>
      <c r="L209" s="284"/>
    </row>
    <row r="210" spans="1:12" ht="15" x14ac:dyDescent="0.2">
      <c r="A210" s="266"/>
      <c r="B210" s="327" t="s">
        <v>1066</v>
      </c>
      <c r="C210" s="325">
        <v>34</v>
      </c>
      <c r="D210" s="326" t="s">
        <v>13</v>
      </c>
      <c r="E210" s="284"/>
      <c r="F210" s="284"/>
      <c r="G210" s="284"/>
      <c r="H210" s="284"/>
      <c r="I210" s="284"/>
      <c r="J210" s="284"/>
      <c r="K210" s="284"/>
      <c r="L210" s="284"/>
    </row>
    <row r="211" spans="1:12" ht="15" x14ac:dyDescent="0.2">
      <c r="A211" s="266"/>
      <c r="B211" s="226"/>
      <c r="C211" s="284"/>
      <c r="D211" s="284"/>
      <c r="E211" s="284"/>
      <c r="F211" s="284"/>
      <c r="G211" s="284"/>
      <c r="H211" s="284"/>
      <c r="I211" s="284"/>
      <c r="J211" s="284"/>
      <c r="K211" s="284"/>
      <c r="L211" s="284"/>
    </row>
    <row r="212" spans="1:12" ht="15" x14ac:dyDescent="0.2">
      <c r="A212" s="266" t="str">
        <f>ORÇAMENTO!A110</f>
        <v>7.3.1.4</v>
      </c>
      <c r="B212" s="226" t="str">
        <f>ORÇAMENTO!D110</f>
        <v>TUBO, PVC, SOLDÁVEL, DN 75MM, INSTALADO EM PRUMADA DE ÁGUA - FORNECIMENTO E INSTALAÇÃO. AF_12/2014</v>
      </c>
      <c r="C212" s="284"/>
      <c r="D212" s="284"/>
      <c r="E212" s="284"/>
      <c r="F212" s="284"/>
      <c r="G212" s="284"/>
      <c r="H212" s="284"/>
      <c r="I212" s="284"/>
      <c r="J212" s="284"/>
      <c r="K212" s="284"/>
      <c r="L212" s="284"/>
    </row>
    <row r="213" spans="1:12" ht="15" x14ac:dyDescent="0.2">
      <c r="A213" s="266"/>
      <c r="B213" s="226"/>
      <c r="C213" s="284"/>
      <c r="D213" s="284"/>
      <c r="E213" s="284"/>
      <c r="F213" s="284"/>
      <c r="G213" s="284"/>
      <c r="H213" s="284"/>
      <c r="I213" s="284"/>
      <c r="J213" s="284"/>
      <c r="K213" s="284"/>
      <c r="L213" s="284"/>
    </row>
    <row r="214" spans="1:12" ht="15" x14ac:dyDescent="0.2">
      <c r="A214" s="266"/>
      <c r="B214" s="327" t="s">
        <v>1066</v>
      </c>
      <c r="C214" s="325">
        <v>51.6</v>
      </c>
      <c r="D214" s="326" t="s">
        <v>13</v>
      </c>
      <c r="E214" s="284"/>
      <c r="F214" s="284"/>
      <c r="G214" s="284"/>
      <c r="H214" s="284"/>
      <c r="I214" s="284"/>
      <c r="J214" s="284"/>
      <c r="K214" s="284"/>
      <c r="L214" s="284"/>
    </row>
    <row r="215" spans="1:12" ht="15" x14ac:dyDescent="0.2">
      <c r="A215" s="266"/>
      <c r="B215" s="226"/>
      <c r="C215" s="284"/>
      <c r="D215" s="284"/>
      <c r="E215" s="284"/>
      <c r="F215" s="284"/>
      <c r="G215" s="284"/>
      <c r="H215" s="284"/>
      <c r="I215" s="284"/>
      <c r="J215" s="284"/>
      <c r="K215" s="284"/>
      <c r="L215" s="284"/>
    </row>
    <row r="216" spans="1:12" ht="15" x14ac:dyDescent="0.2">
      <c r="A216" s="266" t="str">
        <f>ORÇAMENTO!A111</f>
        <v>7.3.1.5</v>
      </c>
      <c r="B216" s="1205" t="str">
        <f>ORÇAMENTO!D111</f>
        <v>Joelho/Cotovelo de redução 90° PVC JS - 32mm x 25mm (LH)</v>
      </c>
      <c r="C216" s="1205"/>
      <c r="D216" s="1205"/>
      <c r="E216" s="1205"/>
      <c r="F216" s="1205"/>
      <c r="G216" s="1205"/>
      <c r="H216" s="1205"/>
      <c r="I216" s="1205"/>
      <c r="J216" s="1205"/>
      <c r="K216" s="1205"/>
      <c r="L216" s="1205"/>
    </row>
    <row r="217" spans="1:12" ht="15" x14ac:dyDescent="0.2">
      <c r="A217" s="266"/>
      <c r="B217" s="226"/>
      <c r="C217" s="284"/>
      <c r="D217" s="284"/>
      <c r="E217" s="284"/>
      <c r="F217" s="284"/>
      <c r="G217" s="284"/>
      <c r="H217" s="284"/>
      <c r="I217" s="284"/>
      <c r="J217" s="284"/>
      <c r="K217" s="284"/>
      <c r="L217" s="284"/>
    </row>
    <row r="218" spans="1:12" x14ac:dyDescent="0.2">
      <c r="A218" s="189"/>
      <c r="B218" s="327" t="s">
        <v>1067</v>
      </c>
      <c r="C218" s="325">
        <v>3</v>
      </c>
      <c r="D218" s="326" t="s">
        <v>11</v>
      </c>
      <c r="E218" s="189"/>
      <c r="F218" s="189"/>
      <c r="G218" s="189"/>
      <c r="H218" s="189"/>
      <c r="I218" s="189"/>
      <c r="J218" s="189"/>
      <c r="K218" s="189"/>
      <c r="L218" s="189"/>
    </row>
    <row r="219" spans="1:12" ht="15" x14ac:dyDescent="0.2">
      <c r="A219" s="266"/>
      <c r="B219" s="226"/>
      <c r="C219" s="284"/>
      <c r="D219" s="284"/>
      <c r="E219" s="284"/>
      <c r="F219" s="284"/>
      <c r="G219" s="284"/>
      <c r="H219" s="284"/>
      <c r="I219" s="284"/>
      <c r="J219" s="284"/>
      <c r="K219" s="284"/>
      <c r="L219" s="284"/>
    </row>
    <row r="220" spans="1:12" ht="15" x14ac:dyDescent="0.2">
      <c r="A220" s="266" t="str">
        <f>ORÇAMENTO!A112</f>
        <v>7.3.1.6</v>
      </c>
      <c r="B220" s="1205" t="str">
        <f>ORÇAMENTO!D112</f>
        <v>CURVA 45 GRAUS, PVC, SOLDÁVEL, DN 40MM, INSTALADO EM PRUMADA DE ÁGUA - FORNECIMENTO E INSTALAÇÃO. AF_12/2014</v>
      </c>
      <c r="C220" s="1205"/>
      <c r="D220" s="1205"/>
      <c r="E220" s="1205"/>
      <c r="F220" s="1205"/>
      <c r="G220" s="1205"/>
      <c r="H220" s="1205"/>
      <c r="I220" s="1205"/>
      <c r="J220" s="1205"/>
      <c r="K220" s="1205"/>
      <c r="L220" s="1205"/>
    </row>
    <row r="221" spans="1:12" ht="15" x14ac:dyDescent="0.2">
      <c r="A221" s="266"/>
      <c r="B221" s="226"/>
      <c r="C221" s="284"/>
      <c r="D221" s="284"/>
      <c r="E221" s="284"/>
      <c r="F221" s="284"/>
      <c r="G221" s="284"/>
      <c r="H221" s="284"/>
      <c r="I221" s="284"/>
      <c r="J221" s="284"/>
      <c r="K221" s="284"/>
      <c r="L221" s="284"/>
    </row>
    <row r="222" spans="1:12" x14ac:dyDescent="0.2">
      <c r="A222" s="189"/>
      <c r="B222" s="327" t="s">
        <v>1067</v>
      </c>
      <c r="C222" s="325">
        <v>4</v>
      </c>
      <c r="D222" s="326" t="s">
        <v>11</v>
      </c>
      <c r="E222" s="189"/>
      <c r="F222" s="189"/>
      <c r="G222" s="189"/>
      <c r="H222" s="189"/>
      <c r="I222" s="189"/>
      <c r="J222" s="189"/>
      <c r="K222" s="189"/>
      <c r="L222" s="189"/>
    </row>
    <row r="223" spans="1:12" ht="15" x14ac:dyDescent="0.2">
      <c r="A223" s="266"/>
      <c r="B223" s="226"/>
      <c r="C223" s="284"/>
      <c r="D223" s="284"/>
      <c r="E223" s="284"/>
      <c r="F223" s="284"/>
      <c r="G223" s="284"/>
      <c r="H223" s="284"/>
      <c r="I223" s="284"/>
      <c r="J223" s="284"/>
      <c r="K223" s="284"/>
      <c r="L223" s="284"/>
    </row>
    <row r="224" spans="1:12" ht="15" x14ac:dyDescent="0.2">
      <c r="A224" s="266" t="str">
        <f>ORÇAMENTO!A113</f>
        <v>7.3.1.7</v>
      </c>
      <c r="B224" s="1205" t="str">
        <f>ORÇAMENTO!D113</f>
        <v>CURVA 90 GRAUS, PVC, SOLDÁVEL, DN 25MM, INSTALADO EM PRUMADA DE ÁGUA - FORNECIMENTO E INSTALAÇÃO. AF_12/2014</v>
      </c>
      <c r="C224" s="1205"/>
      <c r="D224" s="1205"/>
      <c r="E224" s="1205"/>
      <c r="F224" s="1205"/>
      <c r="G224" s="1205"/>
      <c r="H224" s="1205"/>
      <c r="I224" s="1205"/>
      <c r="J224" s="1205"/>
      <c r="K224" s="1205"/>
      <c r="L224" s="1205"/>
    </row>
    <row r="225" spans="1:12" ht="15" x14ac:dyDescent="0.2">
      <c r="A225" s="266"/>
      <c r="B225" s="226"/>
      <c r="C225" s="284"/>
      <c r="D225" s="284"/>
      <c r="E225" s="284"/>
      <c r="F225" s="284"/>
      <c r="G225" s="284"/>
      <c r="H225" s="284"/>
      <c r="I225" s="284"/>
      <c r="J225" s="284"/>
      <c r="K225" s="284"/>
      <c r="L225" s="284"/>
    </row>
    <row r="226" spans="1:12" ht="15" x14ac:dyDescent="0.2">
      <c r="A226" s="266"/>
      <c r="B226" s="327" t="s">
        <v>1067</v>
      </c>
      <c r="C226" s="325">
        <v>1</v>
      </c>
      <c r="D226" s="326" t="s">
        <v>11</v>
      </c>
      <c r="E226" s="284"/>
      <c r="F226" s="284"/>
      <c r="G226" s="284"/>
      <c r="H226" s="284"/>
      <c r="I226" s="284"/>
      <c r="J226" s="284"/>
      <c r="K226" s="284"/>
      <c r="L226" s="284"/>
    </row>
    <row r="227" spans="1:12" ht="15" x14ac:dyDescent="0.2">
      <c r="A227" s="266"/>
      <c r="B227" s="226"/>
      <c r="C227" s="284"/>
      <c r="D227" s="284"/>
      <c r="E227" s="284"/>
      <c r="F227" s="284"/>
      <c r="G227" s="284"/>
      <c r="H227" s="284"/>
      <c r="I227" s="284"/>
      <c r="J227" s="284"/>
      <c r="K227" s="284"/>
      <c r="L227" s="284"/>
    </row>
    <row r="228" spans="1:12" ht="31.5" customHeight="1" x14ac:dyDescent="0.2">
      <c r="A228" s="266" t="str">
        <f>ORÇAMENTO!A114</f>
        <v>7.3.1.8</v>
      </c>
      <c r="B228" s="1205" t="str">
        <f>ORÇAMENTO!D114</f>
        <v>JOELHO 90 GRAUS COM BUCHA DE LATÃO, PVC, SOLDÁVEL, DN 25MM, X 3/4 INSTALADO EM RAMAL OU SUB-RAMAL DE ÁGUA - FORNECIMENTO E INSTALAÇÃO. AF_12/2014</v>
      </c>
      <c r="C228" s="1205"/>
      <c r="D228" s="1205"/>
      <c r="E228" s="1205"/>
      <c r="F228" s="1205"/>
      <c r="G228" s="1205"/>
      <c r="H228" s="1205"/>
      <c r="I228" s="1205"/>
      <c r="J228" s="1205"/>
      <c r="K228" s="1205"/>
      <c r="L228" s="1205"/>
    </row>
    <row r="229" spans="1:12" ht="15" x14ac:dyDescent="0.2">
      <c r="A229" s="266"/>
      <c r="B229" s="226"/>
      <c r="C229" s="284"/>
      <c r="D229" s="284"/>
      <c r="E229" s="284"/>
      <c r="F229" s="284"/>
      <c r="G229" s="284"/>
      <c r="H229" s="284"/>
      <c r="I229" s="284"/>
      <c r="J229" s="284"/>
      <c r="K229" s="284"/>
      <c r="L229" s="284"/>
    </row>
    <row r="230" spans="1:12" ht="15" x14ac:dyDescent="0.2">
      <c r="A230" s="266"/>
      <c r="B230" s="327" t="s">
        <v>1067</v>
      </c>
      <c r="C230" s="325">
        <v>12</v>
      </c>
      <c r="D230" s="326" t="s">
        <v>11</v>
      </c>
      <c r="E230" s="284"/>
      <c r="F230" s="284"/>
      <c r="G230" s="284"/>
      <c r="H230" s="284"/>
      <c r="I230" s="284"/>
      <c r="J230" s="284"/>
      <c r="K230" s="284"/>
      <c r="L230" s="284"/>
    </row>
    <row r="231" spans="1:12" ht="15" x14ac:dyDescent="0.2">
      <c r="A231" s="266"/>
      <c r="B231" s="226"/>
      <c r="C231" s="284"/>
      <c r="D231" s="284"/>
      <c r="E231" s="284"/>
      <c r="F231" s="284"/>
      <c r="G231" s="284"/>
      <c r="H231" s="284"/>
      <c r="I231" s="284"/>
      <c r="J231" s="284"/>
      <c r="K231" s="284"/>
      <c r="L231" s="284"/>
    </row>
    <row r="232" spans="1:12" ht="15" x14ac:dyDescent="0.2">
      <c r="A232" s="266" t="str">
        <f>ORÇAMENTO!A115</f>
        <v>7.3.1.9</v>
      </c>
      <c r="B232" s="1205" t="str">
        <f>ORÇAMENTO!D115</f>
        <v>TÊ DE REDUÇÃO, PVC, SOLDÁVEL, DN 32MM X 25MM, INSTALADO EM PRUMADA DE ÁGUA - FORNECIMENTO E INSTALAÇÃO. AF_12/2014</v>
      </c>
      <c r="C232" s="1205"/>
      <c r="D232" s="1205"/>
      <c r="E232" s="1205"/>
      <c r="F232" s="1205"/>
      <c r="G232" s="1205"/>
      <c r="H232" s="1205"/>
      <c r="I232" s="1205"/>
      <c r="J232" s="1205"/>
      <c r="K232" s="1205"/>
      <c r="L232" s="1205"/>
    </row>
    <row r="233" spans="1:12" ht="15" x14ac:dyDescent="0.2">
      <c r="A233" s="266"/>
      <c r="B233" s="315"/>
      <c r="C233" s="315"/>
      <c r="D233" s="315"/>
      <c r="E233" s="315"/>
      <c r="F233" s="315"/>
      <c r="G233" s="315"/>
      <c r="H233" s="315"/>
      <c r="I233" s="315"/>
      <c r="J233" s="315"/>
      <c r="K233" s="315"/>
      <c r="L233" s="315"/>
    </row>
    <row r="234" spans="1:12" x14ac:dyDescent="0.2">
      <c r="A234" s="189"/>
      <c r="B234" s="327" t="s">
        <v>1067</v>
      </c>
      <c r="C234" s="325">
        <v>4</v>
      </c>
      <c r="D234" s="326" t="s">
        <v>11</v>
      </c>
      <c r="E234" s="189"/>
      <c r="F234" s="189"/>
      <c r="G234" s="189"/>
      <c r="H234" s="189"/>
      <c r="I234" s="189"/>
      <c r="J234" s="189"/>
      <c r="K234" s="189"/>
      <c r="L234" s="189"/>
    </row>
    <row r="235" spans="1:12" ht="15" x14ac:dyDescent="0.2">
      <c r="A235" s="266"/>
      <c r="B235" s="315"/>
      <c r="C235" s="315"/>
      <c r="D235" s="315"/>
      <c r="E235" s="315"/>
      <c r="F235" s="315"/>
      <c r="G235" s="315"/>
      <c r="H235" s="315"/>
      <c r="I235" s="315"/>
      <c r="J235" s="315"/>
      <c r="K235" s="315"/>
      <c r="L235" s="315"/>
    </row>
    <row r="236" spans="1:12" ht="15" x14ac:dyDescent="0.2">
      <c r="A236" s="266" t="str">
        <f>ORÇAMENTO!A116</f>
        <v>7.3.1.10</v>
      </c>
      <c r="B236" s="1205" t="str">
        <f>ORÇAMENTO!D116</f>
        <v>TÊ DE REDUÇÃO, PVC, SOLDÁVEL, DN 40MM X 32MM, INSTALADO EM PRUMADA DE ÁGUA - FORNECIMENTO E INSTALAÇÃO. AF_12/2014</v>
      </c>
      <c r="C236" s="1205"/>
      <c r="D236" s="1205"/>
      <c r="E236" s="1205"/>
      <c r="F236" s="1205"/>
      <c r="G236" s="1205"/>
      <c r="H236" s="1205"/>
      <c r="I236" s="1205"/>
      <c r="J236" s="1205"/>
      <c r="K236" s="1205"/>
      <c r="L236" s="1205"/>
    </row>
    <row r="237" spans="1:12" ht="15" x14ac:dyDescent="0.2">
      <c r="A237" s="266"/>
      <c r="B237" s="315"/>
      <c r="C237" s="315"/>
      <c r="D237" s="315"/>
      <c r="E237" s="315"/>
      <c r="F237" s="315"/>
      <c r="G237" s="315"/>
      <c r="H237" s="315"/>
      <c r="I237" s="315"/>
      <c r="J237" s="315"/>
      <c r="K237" s="315"/>
      <c r="L237" s="315"/>
    </row>
    <row r="238" spans="1:12" ht="15" x14ac:dyDescent="0.2">
      <c r="A238" s="266"/>
      <c r="B238" s="327" t="s">
        <v>1067</v>
      </c>
      <c r="C238" s="325">
        <v>4</v>
      </c>
      <c r="D238" s="326" t="s">
        <v>11</v>
      </c>
      <c r="E238" s="315"/>
      <c r="F238" s="315"/>
      <c r="G238" s="315"/>
      <c r="H238" s="315"/>
      <c r="I238" s="315"/>
      <c r="J238" s="315"/>
      <c r="K238" s="315"/>
      <c r="L238" s="315"/>
    </row>
    <row r="239" spans="1:12" ht="15" x14ac:dyDescent="0.2">
      <c r="A239" s="266"/>
      <c r="B239" s="315"/>
      <c r="C239" s="315"/>
      <c r="D239" s="315"/>
      <c r="E239" s="315"/>
      <c r="F239" s="315"/>
      <c r="G239" s="315"/>
      <c r="H239" s="315"/>
      <c r="I239" s="315"/>
      <c r="J239" s="315"/>
      <c r="K239" s="315"/>
      <c r="L239" s="315"/>
    </row>
    <row r="240" spans="1:12" ht="30" customHeight="1" x14ac:dyDescent="0.2">
      <c r="A240" s="266" t="str">
        <f>ORÇAMENTO!A117</f>
        <v>7.3.1.11</v>
      </c>
      <c r="B240" s="1205" t="str">
        <f>ORÇAMENTO!D117</f>
        <v>BUCHA DE REDUÇÃO, PVC, SOLDÁVEL, DN 40MM X 32MM, INSTALADO EM RAMAL OU SUB-RAMAL DE ÁGUA - FORNECIMENTO E INSTALAÇÃO. AF_03/2015</v>
      </c>
      <c r="C240" s="1205"/>
      <c r="D240" s="1205"/>
      <c r="E240" s="1205"/>
      <c r="F240" s="1205"/>
      <c r="G240" s="1205"/>
      <c r="H240" s="1205"/>
      <c r="I240" s="1205"/>
      <c r="J240" s="1205"/>
      <c r="K240" s="1205"/>
      <c r="L240" s="1205"/>
    </row>
    <row r="241" spans="1:12" ht="15" x14ac:dyDescent="0.2">
      <c r="A241" s="266"/>
      <c r="B241" s="350"/>
      <c r="C241" s="315"/>
      <c r="D241" s="315"/>
      <c r="E241" s="315"/>
      <c r="F241" s="315"/>
      <c r="G241" s="315"/>
      <c r="H241" s="315"/>
      <c r="I241" s="315"/>
      <c r="J241" s="315"/>
      <c r="K241" s="315"/>
      <c r="L241" s="315"/>
    </row>
    <row r="242" spans="1:12" ht="15" x14ac:dyDescent="0.2">
      <c r="A242" s="266"/>
      <c r="B242" s="327" t="s">
        <v>1067</v>
      </c>
      <c r="C242" s="325">
        <v>2</v>
      </c>
      <c r="D242" s="326" t="s">
        <v>11</v>
      </c>
      <c r="E242" s="315"/>
      <c r="F242" s="315"/>
      <c r="G242" s="315"/>
      <c r="H242" s="315"/>
      <c r="I242" s="315"/>
      <c r="J242" s="315"/>
      <c r="K242" s="315"/>
      <c r="L242" s="315"/>
    </row>
    <row r="243" spans="1:12" ht="15" x14ac:dyDescent="0.2">
      <c r="A243" s="266"/>
      <c r="B243" s="350"/>
      <c r="C243" s="315"/>
      <c r="D243" s="315"/>
      <c r="E243" s="315"/>
      <c r="F243" s="315"/>
      <c r="G243" s="315"/>
      <c r="H243" s="315"/>
      <c r="I243" s="315"/>
      <c r="J243" s="315"/>
      <c r="K243" s="315"/>
      <c r="L243" s="315"/>
    </row>
    <row r="244" spans="1:12" ht="15" x14ac:dyDescent="0.2">
      <c r="A244" s="266" t="str">
        <f>ORÇAMENTO!A118</f>
        <v>7.3.1.12</v>
      </c>
      <c r="B244" s="1205" t="str">
        <f>ORÇAMENTO!D118</f>
        <v>Bucha de redução JS - 32mm x 25mm (LH)</v>
      </c>
      <c r="C244" s="1205"/>
      <c r="D244" s="1205"/>
      <c r="E244" s="1205"/>
      <c r="F244" s="1205"/>
      <c r="G244" s="1205"/>
      <c r="H244" s="1205"/>
      <c r="I244" s="1205"/>
      <c r="J244" s="1205"/>
      <c r="K244" s="1205"/>
      <c r="L244" s="1205"/>
    </row>
    <row r="245" spans="1:12" ht="15" x14ac:dyDescent="0.2">
      <c r="A245" s="266"/>
      <c r="B245" s="315"/>
      <c r="C245" s="315"/>
      <c r="D245" s="315"/>
      <c r="E245" s="315"/>
      <c r="F245" s="315"/>
      <c r="G245" s="315"/>
      <c r="H245" s="315"/>
      <c r="I245" s="315"/>
      <c r="J245" s="315"/>
      <c r="K245" s="315"/>
      <c r="L245" s="315"/>
    </row>
    <row r="246" spans="1:12" ht="15" x14ac:dyDescent="0.2">
      <c r="A246" s="266"/>
      <c r="B246" s="327" t="s">
        <v>1067</v>
      </c>
      <c r="C246" s="325">
        <v>3</v>
      </c>
      <c r="D246" s="326" t="s">
        <v>11</v>
      </c>
      <c r="E246" s="315"/>
      <c r="F246" s="315"/>
      <c r="G246" s="315"/>
      <c r="H246" s="315"/>
      <c r="I246" s="315"/>
      <c r="J246" s="315"/>
      <c r="K246" s="315"/>
      <c r="L246" s="315"/>
    </row>
    <row r="247" spans="1:12" ht="15" x14ac:dyDescent="0.2">
      <c r="A247" s="266"/>
      <c r="B247" s="315"/>
      <c r="C247" s="315"/>
      <c r="D247" s="315"/>
      <c r="E247" s="315"/>
      <c r="F247" s="315"/>
      <c r="G247" s="315"/>
      <c r="H247" s="315"/>
      <c r="I247" s="315"/>
      <c r="J247" s="315"/>
      <c r="K247" s="315"/>
      <c r="L247" s="315"/>
    </row>
    <row r="248" spans="1:12" ht="15" x14ac:dyDescent="0.2">
      <c r="A248" s="266" t="str">
        <f>ORÇAMENTO!A119</f>
        <v>7.3.1.13</v>
      </c>
      <c r="B248" s="1205" t="str">
        <f>ORÇAMENTO!D119</f>
        <v>CAIXA ENTERRADA HIDRÁULICA RETANGULAR, EM CONCRETO PRÉ-MOLDADO, DIMENSÕES INTERNAS: 0,3X0,3X0,3 M. AF_12/2020</v>
      </c>
      <c r="C248" s="1205"/>
      <c r="D248" s="1205"/>
      <c r="E248" s="1205"/>
      <c r="F248" s="1205"/>
      <c r="G248" s="1205"/>
      <c r="H248" s="1205"/>
      <c r="I248" s="1205"/>
      <c r="J248" s="1205"/>
      <c r="K248" s="1205"/>
      <c r="L248" s="1205"/>
    </row>
    <row r="249" spans="1:12" ht="15" x14ac:dyDescent="0.2">
      <c r="A249" s="266"/>
      <c r="B249" s="315"/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</row>
    <row r="250" spans="1:12" ht="15" x14ac:dyDescent="0.2">
      <c r="A250" s="266"/>
      <c r="B250" s="327" t="s">
        <v>1067</v>
      </c>
      <c r="C250" s="325">
        <v>2</v>
      </c>
      <c r="D250" s="326" t="s">
        <v>11</v>
      </c>
      <c r="E250" s="315"/>
      <c r="F250" s="315"/>
      <c r="G250" s="315"/>
      <c r="H250" s="315"/>
      <c r="I250" s="315"/>
      <c r="J250" s="315"/>
      <c r="K250" s="315"/>
      <c r="L250" s="315"/>
    </row>
    <row r="251" spans="1:12" ht="15" x14ac:dyDescent="0.2">
      <c r="A251" s="266"/>
      <c r="B251" s="315"/>
      <c r="C251" s="315"/>
      <c r="D251" s="315"/>
      <c r="E251" s="315"/>
      <c r="F251" s="315"/>
      <c r="G251" s="315"/>
      <c r="H251" s="315"/>
      <c r="I251" s="315"/>
      <c r="J251" s="315"/>
      <c r="K251" s="315"/>
      <c r="L251" s="315"/>
    </row>
    <row r="252" spans="1:12" ht="31.5" customHeight="1" x14ac:dyDescent="0.2">
      <c r="A252" s="266" t="str">
        <f>ORÇAMENTO!A120</f>
        <v>7.3.1.14</v>
      </c>
      <c r="B252" s="1239" t="str">
        <f>ORÇAMENTO!D120</f>
        <v xml:space="preserve">FORNECIMENTO E INTALAÇÃO DE MOTOBOMBA AUTOESCORVANTE MOTOR ELETRICO TRIFASICO 7,4HP BOCA DIAMETRO DE SUCCAO X RECLAQUE: 2"X2", HM/ Q = 10 M / 73,5 M3/H A 28 M / 8,2 M3 /H  </v>
      </c>
      <c r="C252" s="1239"/>
      <c r="D252" s="1239"/>
      <c r="E252" s="1239"/>
      <c r="F252" s="1239"/>
      <c r="G252" s="1239"/>
      <c r="H252" s="1239"/>
      <c r="I252" s="1239"/>
      <c r="J252" s="1239"/>
      <c r="K252" s="1239"/>
      <c r="L252" s="1239"/>
    </row>
    <row r="253" spans="1:12" ht="15" x14ac:dyDescent="0.2">
      <c r="A253" s="266"/>
      <c r="B253" s="315"/>
      <c r="C253" s="315"/>
      <c r="D253" s="315"/>
      <c r="E253" s="315"/>
      <c r="F253" s="315"/>
      <c r="G253" s="315"/>
      <c r="H253" s="315"/>
      <c r="I253" s="315"/>
      <c r="J253" s="315"/>
      <c r="K253" s="315"/>
      <c r="L253" s="315"/>
    </row>
    <row r="254" spans="1:12" x14ac:dyDescent="0.2">
      <c r="A254" s="189"/>
      <c r="B254" s="327" t="s">
        <v>1067</v>
      </c>
      <c r="C254" s="325">
        <v>2</v>
      </c>
      <c r="D254" s="326" t="s">
        <v>11</v>
      </c>
      <c r="F254" s="189"/>
      <c r="G254" s="189"/>
      <c r="H254" s="189"/>
      <c r="I254" s="189"/>
      <c r="J254" s="189"/>
      <c r="K254" s="189"/>
      <c r="L254" s="189"/>
    </row>
    <row r="255" spans="1:12" ht="15" x14ac:dyDescent="0.2">
      <c r="A255" s="266"/>
      <c r="B255" s="315"/>
      <c r="C255" s="315"/>
      <c r="D255" s="315"/>
      <c r="E255" s="315"/>
      <c r="F255" s="315"/>
      <c r="G255" s="315"/>
      <c r="H255" s="315"/>
      <c r="I255" s="315"/>
      <c r="J255" s="315"/>
      <c r="K255" s="315"/>
      <c r="L255" s="315"/>
    </row>
    <row r="256" spans="1:12" ht="15" x14ac:dyDescent="0.2">
      <c r="A256" s="266" t="str">
        <f>ORÇAMENTO!A121</f>
        <v>7.3.1.15</v>
      </c>
      <c r="B256" s="350" t="str">
        <f>ORÇAMENTO!D121</f>
        <v>FORNECIMENTO E INSTALACAO DE FILTRO FM-36 5,0 m³h</v>
      </c>
      <c r="C256" s="315"/>
      <c r="D256" s="315"/>
      <c r="E256" s="315"/>
      <c r="F256" s="315"/>
      <c r="G256" s="315"/>
      <c r="H256" s="315"/>
      <c r="I256" s="315"/>
      <c r="J256" s="315"/>
      <c r="K256" s="315"/>
      <c r="L256" s="315"/>
    </row>
    <row r="257" spans="1:12" ht="15" x14ac:dyDescent="0.2">
      <c r="A257" s="266"/>
      <c r="B257" s="315"/>
      <c r="C257" s="315"/>
      <c r="D257" s="315"/>
      <c r="E257" s="315"/>
      <c r="F257" s="315"/>
      <c r="G257" s="315"/>
      <c r="H257" s="315"/>
      <c r="I257" s="315"/>
      <c r="J257" s="315"/>
      <c r="K257" s="315"/>
      <c r="L257" s="315"/>
    </row>
    <row r="258" spans="1:12" ht="15" x14ac:dyDescent="0.2">
      <c r="A258" s="266"/>
      <c r="B258" s="327" t="s">
        <v>1067</v>
      </c>
      <c r="C258" s="325">
        <v>1</v>
      </c>
      <c r="D258" s="326" t="s">
        <v>11</v>
      </c>
      <c r="E258" s="315"/>
      <c r="F258" s="315"/>
      <c r="G258" s="315"/>
      <c r="H258" s="315"/>
      <c r="I258" s="315"/>
      <c r="J258" s="315"/>
      <c r="K258" s="315"/>
      <c r="L258" s="315"/>
    </row>
    <row r="259" spans="1:12" ht="15" x14ac:dyDescent="0.2">
      <c r="A259" s="266"/>
      <c r="B259" s="315"/>
      <c r="C259" s="315"/>
      <c r="D259" s="315"/>
      <c r="E259" s="315"/>
      <c r="F259" s="315"/>
      <c r="G259" s="315"/>
      <c r="H259" s="315"/>
      <c r="I259" s="315"/>
      <c r="J259" s="315"/>
      <c r="K259" s="315"/>
      <c r="L259" s="315"/>
    </row>
    <row r="260" spans="1:12" ht="15" x14ac:dyDescent="0.2">
      <c r="A260" s="266" t="str">
        <f>ORÇAMENTO!A122</f>
        <v>7.3.1.16</v>
      </c>
      <c r="B260" s="350" t="str">
        <f>ORÇAMENTO!D122</f>
        <v>FORNECIMENTO E INSTALACAO DE BICOS PARA FONTE TIPO COROA 1", INCLUSO REFLETOR ANEL LUZ RGB 9W</v>
      </c>
      <c r="C260" s="315"/>
      <c r="D260" s="315"/>
      <c r="E260" s="315"/>
      <c r="F260" s="315"/>
      <c r="G260" s="315"/>
      <c r="H260" s="315"/>
      <c r="I260" s="315"/>
      <c r="J260" s="315"/>
      <c r="K260" s="315"/>
      <c r="L260" s="315"/>
    </row>
    <row r="261" spans="1:12" ht="35.25" customHeight="1" x14ac:dyDescent="0.2">
      <c r="A261" s="266" t="str">
        <f>ORÇAMENTO!A123</f>
        <v>7.3.1.17</v>
      </c>
      <c r="B261" s="1205" t="str">
        <f>ORÇAMENTO!D123</f>
        <v>CAIXA ENTERRADA HIDRÁULICA PARA BICOS RETANGULAR, EM CONCRETO PRÉ-MOLDADO, DIMENSÕES INTERNAS: 0,3X0,3X0,3 M, TAMPA EM GRELHA ARTICULADA</v>
      </c>
      <c r="C261" s="1205"/>
      <c r="D261" s="1205"/>
      <c r="E261" s="1205"/>
      <c r="F261" s="1205"/>
      <c r="G261" s="1205"/>
      <c r="H261" s="1205"/>
      <c r="I261" s="1205"/>
      <c r="J261" s="1205"/>
      <c r="K261" s="1205"/>
      <c r="L261" s="1205"/>
    </row>
    <row r="262" spans="1:12" ht="15" x14ac:dyDescent="0.2">
      <c r="A262" s="266"/>
      <c r="B262" s="315"/>
      <c r="C262" s="315"/>
      <c r="D262" s="315"/>
      <c r="E262" s="315"/>
      <c r="F262" s="315"/>
      <c r="G262" s="315"/>
      <c r="H262" s="315"/>
      <c r="I262" s="315"/>
      <c r="J262" s="315"/>
      <c r="K262" s="315"/>
      <c r="L262" s="315"/>
    </row>
    <row r="263" spans="1:12" ht="15" x14ac:dyDescent="0.2">
      <c r="A263" s="266"/>
      <c r="B263" s="327" t="s">
        <v>1067</v>
      </c>
      <c r="C263" s="325">
        <v>12</v>
      </c>
      <c r="D263" s="326" t="s">
        <v>11</v>
      </c>
      <c r="E263" s="315"/>
      <c r="F263" s="315"/>
      <c r="G263" s="315"/>
      <c r="H263" s="315"/>
      <c r="I263" s="315"/>
      <c r="J263" s="315"/>
      <c r="K263" s="315"/>
      <c r="L263" s="315"/>
    </row>
    <row r="264" spans="1:12" ht="15" x14ac:dyDescent="0.2">
      <c r="A264" s="266"/>
      <c r="B264" s="315"/>
      <c r="C264" s="315"/>
      <c r="D264" s="315"/>
      <c r="E264" s="315"/>
      <c r="F264" s="315"/>
      <c r="G264" s="315"/>
      <c r="H264" s="315"/>
      <c r="I264" s="315"/>
      <c r="J264" s="315"/>
      <c r="K264" s="315"/>
      <c r="L264" s="315"/>
    </row>
    <row r="265" spans="1:12" s="324" customFormat="1" ht="15" x14ac:dyDescent="0.2">
      <c r="A265" s="266" t="str">
        <f>ORÇAMENTO!A124</f>
        <v>7.4</v>
      </c>
      <c r="B265" s="350" t="str">
        <f>ORÇAMENTO!D124</f>
        <v>INSTALAÇÕES ELÉTRICAS (FONTE-CASA DE BOMBA-POÇO)</v>
      </c>
      <c r="C265" s="315"/>
      <c r="D265" s="315"/>
      <c r="E265" s="315"/>
      <c r="F265" s="315"/>
      <c r="G265" s="315"/>
      <c r="H265" s="315"/>
      <c r="I265" s="315"/>
      <c r="J265" s="315"/>
      <c r="K265" s="315"/>
      <c r="L265" s="315"/>
    </row>
    <row r="266" spans="1:12" ht="15" x14ac:dyDescent="0.2">
      <c r="A266" s="266"/>
      <c r="B266" s="350"/>
      <c r="C266" s="315"/>
      <c r="D266" s="315"/>
      <c r="E266" s="315"/>
      <c r="F266" s="315"/>
      <c r="G266" s="315"/>
      <c r="H266" s="315"/>
      <c r="I266" s="315"/>
      <c r="J266" s="315"/>
      <c r="K266" s="315"/>
      <c r="L266" s="315"/>
    </row>
    <row r="267" spans="1:12" ht="33.75" customHeight="1" x14ac:dyDescent="0.2">
      <c r="A267" s="266" t="str">
        <f>ORÇAMENTO!A125</f>
        <v>7.4.1</v>
      </c>
      <c r="B267" s="1205" t="str">
        <f>ORÇAMENTO!D125</f>
        <v>LUMINÁRIA ORNAMENTAL EMBUTIDA NO PISO ESTANQUE, COM PROTEÇÃO CONTRA ÁGUA, POEIRA OU IMPACTOS - TIPO AQUATIC PIAL OU EQUIVALENTE, INCLUINDO TUBO DE PVC, DN 100 MM E CAMADA DRENANTE</v>
      </c>
      <c r="C267" s="1205"/>
      <c r="D267" s="1205"/>
      <c r="E267" s="1205"/>
      <c r="F267" s="1205"/>
      <c r="G267" s="1205"/>
      <c r="H267" s="1205"/>
      <c r="I267" s="1205"/>
      <c r="J267" s="1205"/>
      <c r="K267" s="1205"/>
      <c r="L267" s="1205"/>
    </row>
    <row r="268" spans="1:12" ht="15" x14ac:dyDescent="0.2">
      <c r="A268" s="266"/>
      <c r="B268" s="226"/>
      <c r="C268" s="284"/>
      <c r="D268" s="284"/>
      <c r="E268" s="284"/>
      <c r="F268" s="284"/>
      <c r="G268" s="284"/>
      <c r="H268" s="284"/>
      <c r="I268" s="284"/>
      <c r="J268" s="284"/>
      <c r="K268" s="284"/>
      <c r="L268" s="284"/>
    </row>
    <row r="269" spans="1:12" ht="15" x14ac:dyDescent="0.2">
      <c r="A269" s="266"/>
      <c r="B269" s="327" t="s">
        <v>54</v>
      </c>
      <c r="C269" s="325">
        <v>8</v>
      </c>
      <c r="D269" s="326" t="s">
        <v>11</v>
      </c>
      <c r="E269" s="284"/>
      <c r="F269" s="284"/>
      <c r="G269" s="284"/>
      <c r="H269" s="284"/>
      <c r="I269" s="284"/>
      <c r="J269" s="284"/>
      <c r="K269" s="284"/>
      <c r="L269" s="284"/>
    </row>
    <row r="270" spans="1:12" ht="15" x14ac:dyDescent="0.2">
      <c r="A270" s="266"/>
      <c r="B270" s="226"/>
      <c r="C270" s="284"/>
      <c r="D270" s="284"/>
      <c r="E270" s="284"/>
      <c r="F270" s="284"/>
      <c r="G270" s="284"/>
      <c r="H270" s="284"/>
      <c r="I270" s="284"/>
      <c r="J270" s="284"/>
      <c r="K270" s="284"/>
      <c r="L270" s="284"/>
    </row>
    <row r="271" spans="1:12" ht="31.5" customHeight="1" x14ac:dyDescent="0.2">
      <c r="A271" s="266" t="str">
        <f>ORÇAMENTO!A126</f>
        <v>7.4.2</v>
      </c>
      <c r="B271" s="1205" t="str">
        <f>ORÇAMENTO!D126</f>
        <v>ELETRODUTO RÍGIDO ROSCÁVEL, PVC, DN 32 MM (1"), PARA CIRCUITOS TERMINAIS, INSTALADO EM LAJE - FORNECIMENTO E INSTALAÇÃO. AF_12/2015</v>
      </c>
      <c r="C271" s="1205"/>
      <c r="D271" s="1205"/>
      <c r="E271" s="1205"/>
      <c r="F271" s="1205"/>
      <c r="G271" s="1205"/>
      <c r="H271" s="1205"/>
      <c r="I271" s="1205"/>
      <c r="J271" s="1205"/>
      <c r="K271" s="1205"/>
      <c r="L271" s="259"/>
    </row>
    <row r="272" spans="1:12" ht="15" x14ac:dyDescent="0.2">
      <c r="A272" s="266"/>
      <c r="B272" s="226"/>
      <c r="C272" s="284"/>
      <c r="D272" s="284"/>
      <c r="E272" s="284"/>
      <c r="F272" s="284"/>
      <c r="G272" s="284"/>
      <c r="H272" s="284"/>
      <c r="I272" s="284"/>
      <c r="J272" s="284"/>
      <c r="K272" s="284"/>
      <c r="L272" s="284"/>
    </row>
    <row r="273" spans="1:12" ht="15" x14ac:dyDescent="0.2">
      <c r="A273" s="266"/>
      <c r="B273" s="327" t="s">
        <v>54</v>
      </c>
      <c r="C273" s="325">
        <v>20</v>
      </c>
      <c r="D273" s="326" t="s">
        <v>13</v>
      </c>
      <c r="E273" s="284"/>
      <c r="F273" s="284"/>
      <c r="G273" s="284"/>
      <c r="H273" s="284"/>
      <c r="I273" s="284"/>
      <c r="J273" s="284"/>
      <c r="K273" s="284"/>
      <c r="L273" s="284"/>
    </row>
    <row r="274" spans="1:12" ht="15" x14ac:dyDescent="0.2">
      <c r="A274" s="266"/>
      <c r="B274" s="226"/>
      <c r="C274" s="284"/>
      <c r="D274" s="284"/>
      <c r="E274" s="284"/>
      <c r="F274" s="284"/>
      <c r="G274" s="284"/>
      <c r="H274" s="284"/>
      <c r="I274" s="284"/>
      <c r="J274" s="284"/>
      <c r="K274" s="284"/>
      <c r="L274" s="284"/>
    </row>
    <row r="275" spans="1:12" ht="15" x14ac:dyDescent="0.2">
      <c r="A275" s="266" t="str">
        <f>ORÇAMENTO!A127</f>
        <v>7.4.3</v>
      </c>
      <c r="B275" s="226" t="str">
        <f>ORÇAMENTO!D127</f>
        <v>ELETRODUTO RÍGIDO ROSCÁVEL, PVC, DN 50 MM (1 1/2") - FORNECIMENTO E INSTALAÇÃO. AF_12/2015</v>
      </c>
      <c r="C275" s="284"/>
      <c r="D275" s="284"/>
      <c r="E275" s="284"/>
      <c r="F275" s="284"/>
      <c r="G275" s="284"/>
      <c r="H275" s="284"/>
      <c r="I275" s="284"/>
      <c r="J275" s="284"/>
      <c r="K275" s="284"/>
      <c r="L275" s="284"/>
    </row>
    <row r="276" spans="1:12" ht="15" x14ac:dyDescent="0.2">
      <c r="A276" s="266"/>
      <c r="B276" s="226"/>
      <c r="C276" s="284"/>
      <c r="D276" s="284"/>
      <c r="E276" s="284"/>
      <c r="F276" s="284"/>
      <c r="G276" s="284"/>
      <c r="H276" s="284"/>
      <c r="I276" s="284"/>
      <c r="J276" s="284"/>
      <c r="K276" s="284"/>
      <c r="L276" s="284"/>
    </row>
    <row r="277" spans="1:12" ht="15" x14ac:dyDescent="0.2">
      <c r="A277" s="266"/>
      <c r="B277" s="327" t="s">
        <v>54</v>
      </c>
      <c r="C277" s="325">
        <v>1.5</v>
      </c>
      <c r="D277" s="326" t="s">
        <v>13</v>
      </c>
      <c r="E277" s="284"/>
      <c r="F277" s="284"/>
      <c r="G277" s="284"/>
      <c r="H277" s="284"/>
      <c r="I277" s="284"/>
      <c r="J277" s="284"/>
      <c r="K277" s="284"/>
      <c r="L277" s="284"/>
    </row>
    <row r="278" spans="1:12" ht="15" x14ac:dyDescent="0.2">
      <c r="A278" s="266"/>
      <c r="B278" s="226"/>
      <c r="C278" s="284"/>
      <c r="D278" s="284"/>
      <c r="E278" s="284"/>
      <c r="F278" s="284"/>
      <c r="G278" s="284"/>
      <c r="H278" s="284"/>
      <c r="I278" s="284"/>
      <c r="J278" s="284"/>
      <c r="K278" s="284"/>
      <c r="L278" s="284"/>
    </row>
    <row r="279" spans="1:12" ht="15" x14ac:dyDescent="0.2">
      <c r="A279" s="266" t="str">
        <f>ORÇAMENTO!A128</f>
        <v>7.4.4</v>
      </c>
      <c r="B279" s="226" t="str">
        <f>ORÇAMENTO!D128</f>
        <v>ELETRODUTO RÍGIDO ROSCÁVEL, PVC, DN 60 MM (2") - FORNECIMENTO E INSTALAÇÃO. AF_12/2015</v>
      </c>
      <c r="C279" s="284"/>
      <c r="D279" s="284"/>
      <c r="E279" s="284"/>
      <c r="F279" s="284"/>
      <c r="G279" s="284"/>
      <c r="H279" s="284"/>
      <c r="I279" s="284"/>
      <c r="J279" s="284"/>
      <c r="K279" s="284"/>
      <c r="L279" s="284"/>
    </row>
    <row r="280" spans="1:12" ht="15" x14ac:dyDescent="0.2">
      <c r="A280" s="266"/>
      <c r="B280" s="226"/>
      <c r="C280" s="284"/>
      <c r="D280" s="284"/>
      <c r="E280" s="284"/>
      <c r="F280" s="284"/>
      <c r="G280" s="284"/>
      <c r="H280" s="284"/>
      <c r="I280" s="284"/>
      <c r="J280" s="284"/>
      <c r="K280" s="284"/>
      <c r="L280" s="284"/>
    </row>
    <row r="281" spans="1:12" ht="15" x14ac:dyDescent="0.2">
      <c r="A281" s="266"/>
      <c r="B281" s="327" t="s">
        <v>54</v>
      </c>
      <c r="C281" s="325">
        <v>0.5</v>
      </c>
      <c r="D281" s="326" t="s">
        <v>13</v>
      </c>
      <c r="E281" s="284"/>
      <c r="F281" s="284"/>
      <c r="G281" s="284"/>
      <c r="H281" s="284"/>
      <c r="I281" s="284"/>
      <c r="J281" s="284"/>
      <c r="K281" s="284"/>
      <c r="L281" s="284"/>
    </row>
    <row r="282" spans="1:12" ht="15" x14ac:dyDescent="0.2">
      <c r="A282" s="266"/>
      <c r="B282" s="226"/>
      <c r="C282" s="284"/>
      <c r="D282" s="284"/>
      <c r="E282" s="284"/>
      <c r="F282" s="284"/>
      <c r="G282" s="284"/>
      <c r="H282" s="284"/>
      <c r="I282" s="284"/>
      <c r="J282" s="284"/>
      <c r="K282" s="284"/>
      <c r="L282" s="284"/>
    </row>
    <row r="283" spans="1:12" ht="27.75" customHeight="1" x14ac:dyDescent="0.2">
      <c r="A283" s="266" t="str">
        <f>ORÇAMENTO!A129</f>
        <v>7.4.5</v>
      </c>
      <c r="B283" s="1205" t="str">
        <f>ORÇAMENTO!D129</f>
        <v>CABO DE COBRE FLEXÍVEL ISOLADO, 2,5 MM², ANTI-CHAMA 450/750 V, PARA CIRCUITOS TERMINAIS - FORNECIMENTO E INSTALAÇÃO. AF_12/2015</v>
      </c>
      <c r="C283" s="1205"/>
      <c r="D283" s="1205"/>
      <c r="E283" s="1205"/>
      <c r="F283" s="1205"/>
      <c r="G283" s="1205"/>
      <c r="H283" s="1205"/>
      <c r="I283" s="1205"/>
      <c r="J283" s="1205"/>
      <c r="K283" s="1205"/>
      <c r="L283" s="1205"/>
    </row>
    <row r="284" spans="1:12" ht="15" x14ac:dyDescent="0.2">
      <c r="A284" s="266"/>
      <c r="B284" s="226"/>
      <c r="C284" s="284"/>
      <c r="D284" s="284"/>
      <c r="E284" s="284"/>
      <c r="F284" s="284"/>
      <c r="G284" s="284"/>
      <c r="H284" s="284"/>
      <c r="I284" s="284"/>
      <c r="J284" s="284"/>
      <c r="K284" s="284"/>
      <c r="L284" s="284"/>
    </row>
    <row r="285" spans="1:12" ht="15" x14ac:dyDescent="0.2">
      <c r="A285" s="266"/>
      <c r="B285" s="327" t="s">
        <v>54</v>
      </c>
      <c r="C285" s="325">
        <v>78</v>
      </c>
      <c r="D285" s="326" t="s">
        <v>11</v>
      </c>
      <c r="E285" s="284"/>
      <c r="F285" s="284"/>
      <c r="G285" s="284"/>
      <c r="H285" s="284"/>
      <c r="I285" s="284"/>
      <c r="J285" s="284"/>
      <c r="K285" s="284"/>
      <c r="L285" s="284"/>
    </row>
    <row r="286" spans="1:12" ht="15" x14ac:dyDescent="0.2">
      <c r="A286" s="266"/>
      <c r="B286" s="226"/>
      <c r="C286" s="284"/>
      <c r="D286" s="284"/>
      <c r="E286" s="284"/>
      <c r="F286" s="284"/>
      <c r="G286" s="284"/>
      <c r="H286" s="284"/>
      <c r="I286" s="284"/>
      <c r="J286" s="284"/>
      <c r="K286" s="284"/>
      <c r="L286" s="284"/>
    </row>
    <row r="287" spans="1:12" ht="32.25" customHeight="1" x14ac:dyDescent="0.2">
      <c r="A287" s="266" t="str">
        <f>ORÇAMENTO!A130</f>
        <v>7.4.6</v>
      </c>
      <c r="B287" s="1205" t="str">
        <f>ORÇAMENTO!D130</f>
        <v>CAIXA ENTERRADA ELÉTRICA RETANGULAR, EM ALVENARIA COM TIJOLOS CERÂMICOS MACIÇOS, FUNDO COM BRITA, DIMENSÕES INTERNAS: 0,3X0,3X0,3 M. AF_12/2020</v>
      </c>
      <c r="C287" s="1205"/>
      <c r="D287" s="1205"/>
      <c r="E287" s="1205"/>
      <c r="F287" s="1205"/>
      <c r="G287" s="1205"/>
      <c r="H287" s="1205"/>
      <c r="I287" s="1205"/>
      <c r="J287" s="1205"/>
      <c r="K287" s="1205"/>
      <c r="L287" s="1205"/>
    </row>
    <row r="288" spans="1:12" ht="15" x14ac:dyDescent="0.2">
      <c r="A288" s="266"/>
      <c r="B288" s="226"/>
      <c r="C288" s="284"/>
      <c r="D288" s="284"/>
      <c r="E288" s="284"/>
      <c r="F288" s="284"/>
      <c r="G288" s="284"/>
      <c r="H288" s="284"/>
      <c r="I288" s="284"/>
      <c r="J288" s="284"/>
      <c r="K288" s="284"/>
      <c r="L288" s="284"/>
    </row>
    <row r="289" spans="1:12" ht="15" x14ac:dyDescent="0.2">
      <c r="A289" s="266"/>
      <c r="B289" s="327" t="s">
        <v>54</v>
      </c>
      <c r="C289" s="325">
        <v>2</v>
      </c>
      <c r="D289" s="326" t="s">
        <v>11</v>
      </c>
      <c r="E289" s="284"/>
      <c r="F289" s="284"/>
      <c r="G289" s="284"/>
      <c r="H289" s="284"/>
      <c r="I289" s="284"/>
      <c r="J289" s="284"/>
      <c r="K289" s="284"/>
      <c r="L289" s="284"/>
    </row>
    <row r="290" spans="1:12" ht="15" x14ac:dyDescent="0.2">
      <c r="A290" s="266"/>
      <c r="B290" s="226"/>
      <c r="C290" s="284"/>
      <c r="D290" s="284"/>
      <c r="E290" s="284"/>
      <c r="F290" s="284"/>
      <c r="G290" s="284"/>
      <c r="H290" s="284"/>
      <c r="I290" s="284"/>
      <c r="J290" s="284"/>
      <c r="K290" s="284"/>
      <c r="L290" s="284"/>
    </row>
    <row r="291" spans="1:12" ht="15" x14ac:dyDescent="0.2">
      <c r="A291" s="266" t="str">
        <f>ORÇAMENTO!A131</f>
        <v>7.4.7</v>
      </c>
      <c r="B291" s="1230" t="str">
        <f>ORÇAMENTO!D131</f>
        <v>CABO DE COBRE FLEXÍVEL ISOLADO, 4 MM², ANTI-CHAMA 450/750 V, PARA CIRCUITOS TERMINAIS - FORNECIMENTO E INSTALAÇÃO. AF_12/2015</v>
      </c>
      <c r="C291" s="1230"/>
      <c r="D291" s="1230"/>
      <c r="E291" s="1230"/>
      <c r="F291" s="1230"/>
      <c r="G291" s="1230"/>
      <c r="H291" s="1230"/>
      <c r="I291" s="1230"/>
      <c r="J291" s="1230"/>
      <c r="K291" s="1230"/>
      <c r="L291" s="1230"/>
    </row>
    <row r="292" spans="1:12" ht="15" x14ac:dyDescent="0.2">
      <c r="A292" s="266"/>
      <c r="B292" s="226"/>
      <c r="C292" s="284"/>
      <c r="D292" s="284"/>
      <c r="E292" s="284"/>
      <c r="F292" s="284"/>
      <c r="G292" s="284"/>
      <c r="H292" s="284"/>
      <c r="I292" s="284"/>
      <c r="J292" s="284"/>
      <c r="K292" s="284"/>
      <c r="L292" s="284"/>
    </row>
    <row r="293" spans="1:12" ht="15" x14ac:dyDescent="0.2">
      <c r="A293" s="266"/>
      <c r="B293" s="327" t="s">
        <v>54</v>
      </c>
      <c r="C293" s="325">
        <v>60</v>
      </c>
      <c r="D293" s="326" t="s">
        <v>11</v>
      </c>
      <c r="E293" s="284"/>
      <c r="F293" s="284"/>
      <c r="G293" s="284"/>
      <c r="H293" s="284"/>
      <c r="I293" s="284"/>
      <c r="J293" s="284"/>
      <c r="K293" s="284"/>
      <c r="L293" s="284"/>
    </row>
    <row r="294" spans="1:12" ht="15" x14ac:dyDescent="0.2">
      <c r="A294" s="266"/>
      <c r="B294" s="226"/>
      <c r="C294" s="284"/>
      <c r="D294" s="284"/>
      <c r="E294" s="284"/>
      <c r="F294" s="284"/>
      <c r="G294" s="284"/>
      <c r="H294" s="284"/>
      <c r="I294" s="284"/>
      <c r="J294" s="284"/>
      <c r="K294" s="284"/>
      <c r="L294" s="284"/>
    </row>
    <row r="295" spans="1:12" ht="15" x14ac:dyDescent="0.2">
      <c r="A295" s="266" t="str">
        <f>ORÇAMENTO!A132</f>
        <v>7.4.8</v>
      </c>
      <c r="B295" s="226" t="str">
        <f>ORÇAMENTO!D132</f>
        <v>TOMADA BAIXA DE EMBUTIR (1 MÓDULO), 2P+T 20 A, INCLUINDO SUPORTE E PLACA - FORNECIMENTO E INSTALAÇÃO. AF_12/2015</v>
      </c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</row>
    <row r="296" spans="1:12" ht="15" x14ac:dyDescent="0.2">
      <c r="A296" s="266"/>
      <c r="B296" s="226"/>
      <c r="C296" s="284"/>
      <c r="D296" s="284"/>
      <c r="E296" s="284"/>
      <c r="F296" s="284"/>
      <c r="G296" s="284"/>
      <c r="H296" s="284"/>
      <c r="I296" s="284"/>
      <c r="J296" s="284"/>
      <c r="K296" s="284"/>
      <c r="L296" s="284"/>
    </row>
    <row r="297" spans="1:12" ht="15" x14ac:dyDescent="0.2">
      <c r="A297" s="266"/>
      <c r="B297" s="327" t="s">
        <v>54</v>
      </c>
      <c r="C297" s="325">
        <v>1</v>
      </c>
      <c r="D297" s="326" t="s">
        <v>11</v>
      </c>
      <c r="E297" s="284"/>
      <c r="F297" s="284"/>
      <c r="G297" s="284"/>
      <c r="H297" s="284"/>
      <c r="I297" s="284"/>
      <c r="J297" s="284"/>
      <c r="K297" s="284"/>
      <c r="L297" s="284"/>
    </row>
    <row r="298" spans="1:12" ht="15" x14ac:dyDescent="0.2">
      <c r="A298" s="266"/>
      <c r="B298" s="226"/>
      <c r="C298" s="284"/>
      <c r="D298" s="284"/>
      <c r="E298" s="284"/>
      <c r="F298" s="284"/>
      <c r="G298" s="284"/>
      <c r="H298" s="284"/>
      <c r="I298" s="284"/>
      <c r="J298" s="284"/>
      <c r="K298" s="284"/>
      <c r="L298" s="284"/>
    </row>
    <row r="299" spans="1:12" ht="15" x14ac:dyDescent="0.2">
      <c r="A299" s="266" t="str">
        <f>ORÇAMENTO!A133</f>
        <v>7.4.9</v>
      </c>
      <c r="B299" s="1205" t="str">
        <f>ORÇAMENTO!D133</f>
        <v>TOMADA BAIXA DE EMBUTIR (1 MÓDULO), 2P+T 10 A, INCLUINDO SUPORTE E PLACA - FORNECIMENTO E INSTALAÇÃO. AF_12/2015</v>
      </c>
      <c r="C299" s="1205"/>
      <c r="D299" s="1205"/>
      <c r="E299" s="1205"/>
      <c r="F299" s="1205"/>
      <c r="G299" s="1205"/>
      <c r="H299" s="1205"/>
      <c r="I299" s="1205"/>
      <c r="J299" s="1205"/>
      <c r="K299" s="1205"/>
      <c r="L299" s="1205"/>
    </row>
    <row r="300" spans="1:12" ht="15" x14ac:dyDescent="0.2">
      <c r="A300" s="266"/>
      <c r="B300" s="226"/>
      <c r="C300" s="284"/>
      <c r="D300" s="284"/>
      <c r="E300" s="284"/>
      <c r="F300" s="284"/>
      <c r="G300" s="284"/>
      <c r="H300" s="284"/>
      <c r="I300" s="284"/>
      <c r="J300" s="284"/>
      <c r="K300" s="284"/>
      <c r="L300" s="284"/>
    </row>
    <row r="301" spans="1:12" ht="15" x14ac:dyDescent="0.2">
      <c r="A301" s="266"/>
      <c r="B301" s="327" t="s">
        <v>54</v>
      </c>
      <c r="C301" s="325">
        <v>1</v>
      </c>
      <c r="D301" s="326" t="s">
        <v>11</v>
      </c>
      <c r="E301" s="284"/>
      <c r="F301" s="284"/>
      <c r="G301" s="284"/>
      <c r="H301" s="284"/>
      <c r="I301" s="284"/>
      <c r="J301" s="284"/>
      <c r="K301" s="284"/>
      <c r="L301" s="284"/>
    </row>
    <row r="302" spans="1:12" ht="15" x14ac:dyDescent="0.2">
      <c r="A302" s="266"/>
      <c r="B302" s="226"/>
      <c r="C302" s="284"/>
      <c r="D302" s="284"/>
      <c r="E302" s="284"/>
      <c r="F302" s="284"/>
      <c r="G302" s="284"/>
      <c r="H302" s="284"/>
      <c r="I302" s="284"/>
      <c r="J302" s="284"/>
      <c r="K302" s="284"/>
      <c r="L302" s="284"/>
    </row>
    <row r="303" spans="1:12" ht="35.25" customHeight="1" x14ac:dyDescent="0.2">
      <c r="A303" s="266" t="str">
        <f>ORÇAMENTO!A134</f>
        <v>7.4.10</v>
      </c>
      <c r="B303" s="1205" t="str">
        <f>ORÇAMENTO!D134</f>
        <v>QUADRO DE DISTRIBUIÇÃO DE ENERGIA EM PVC, DE EMBUTIR, SEM BARRAMENTO, PARA 6 DISJUNTORES - FORNECIMENTO E INSTALAÇÃO. AF_10/2020</v>
      </c>
      <c r="C303" s="1205"/>
      <c r="D303" s="1205"/>
      <c r="E303" s="1205"/>
      <c r="F303" s="1205"/>
      <c r="G303" s="1205"/>
      <c r="H303" s="1205"/>
      <c r="I303" s="1205"/>
      <c r="J303" s="1205"/>
      <c r="K303" s="1205"/>
      <c r="L303" s="1205"/>
    </row>
    <row r="304" spans="1:12" ht="15" x14ac:dyDescent="0.2">
      <c r="A304" s="266"/>
      <c r="B304" s="226"/>
      <c r="C304" s="284"/>
      <c r="D304" s="284"/>
      <c r="E304" s="284"/>
      <c r="F304" s="284"/>
      <c r="G304" s="284"/>
      <c r="H304" s="284"/>
      <c r="I304" s="284"/>
      <c r="J304" s="284"/>
      <c r="K304" s="284"/>
      <c r="L304" s="284"/>
    </row>
    <row r="305" spans="1:15" ht="15" x14ac:dyDescent="0.2">
      <c r="A305" s="266"/>
      <c r="B305" s="327" t="s">
        <v>54</v>
      </c>
      <c r="C305" s="325">
        <v>1</v>
      </c>
      <c r="D305" s="326" t="s">
        <v>11</v>
      </c>
      <c r="E305" s="284"/>
      <c r="F305" s="284"/>
      <c r="G305" s="284"/>
      <c r="H305" s="284"/>
      <c r="I305" s="284"/>
      <c r="J305" s="284"/>
      <c r="K305" s="284"/>
      <c r="L305" s="284"/>
    </row>
    <row r="306" spans="1:15" ht="15" x14ac:dyDescent="0.2">
      <c r="A306" s="266"/>
      <c r="B306" s="226"/>
      <c r="C306" s="284"/>
      <c r="D306" s="284"/>
      <c r="E306" s="284"/>
      <c r="F306" s="284"/>
      <c r="G306" s="284"/>
      <c r="H306" s="284"/>
      <c r="I306" s="284"/>
      <c r="J306" s="284"/>
      <c r="K306" s="284"/>
      <c r="L306" s="284"/>
    </row>
    <row r="307" spans="1:15" ht="15" x14ac:dyDescent="0.25">
      <c r="A307" s="472" t="str">
        <f>ORÇAMENTO!A135</f>
        <v>7.4.11</v>
      </c>
      <c r="B307" s="220" t="str">
        <f>ORÇAMENTO!D135</f>
        <v>DISJUNTOR BIPOLAR TIPO DIN, CORRENTE NOMINAL DE 10A - FORNECIMENTO E INSTALAÇÃO. AF_04/2016</v>
      </c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</row>
    <row r="308" spans="1:15" x14ac:dyDescent="0.2">
      <c r="A308" s="191"/>
      <c r="B308" s="189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</row>
    <row r="309" spans="1:15" x14ac:dyDescent="0.2">
      <c r="A309" s="191"/>
      <c r="B309" s="327" t="s">
        <v>54</v>
      </c>
      <c r="C309" s="325">
        <v>2</v>
      </c>
      <c r="D309" s="326" t="s">
        <v>11</v>
      </c>
      <c r="E309" s="189"/>
      <c r="F309" s="189"/>
      <c r="G309" s="189"/>
      <c r="H309" s="189"/>
      <c r="I309" s="189"/>
      <c r="J309" s="189"/>
      <c r="K309" s="189"/>
      <c r="L309" s="189"/>
    </row>
    <row r="310" spans="1:15" x14ac:dyDescent="0.2">
      <c r="A310" s="191"/>
      <c r="B310" s="189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</row>
    <row r="311" spans="1:15" ht="15" x14ac:dyDescent="0.25">
      <c r="A311" s="472" t="str">
        <f>ORÇAMENTO!A136</f>
        <v>7.4.12</v>
      </c>
      <c r="B311" s="600" t="str">
        <f>ORÇAMENTO!D136</f>
        <v>DISJUNTOR TRIPOLAR TIPO NEMA, CORRENTE NOMINAL DE 10 ATÉ 50A - FORNECIMENTO E INSTALAÇÃO. AF_10/2020</v>
      </c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</row>
    <row r="312" spans="1:15" x14ac:dyDescent="0.2">
      <c r="A312" s="191"/>
      <c r="B312" s="189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</row>
    <row r="313" spans="1:15" s="225" customFormat="1" x14ac:dyDescent="0.2">
      <c r="A313" s="191"/>
      <c r="B313" s="327" t="s">
        <v>54</v>
      </c>
      <c r="C313" s="325">
        <v>3</v>
      </c>
      <c r="D313" s="326" t="s">
        <v>11</v>
      </c>
      <c r="E313" s="189"/>
      <c r="F313" s="189"/>
      <c r="G313" s="189"/>
      <c r="H313" s="189"/>
      <c r="I313" s="189"/>
      <c r="J313" s="189"/>
      <c r="K313" s="189"/>
      <c r="L313" s="189"/>
      <c r="M313" s="179"/>
      <c r="N313" s="179"/>
      <c r="O313" s="179"/>
    </row>
    <row r="314" spans="1:15" x14ac:dyDescent="0.2">
      <c r="A314" s="191"/>
      <c r="B314" s="189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</row>
    <row r="315" spans="1:15" ht="15" x14ac:dyDescent="0.25">
      <c r="A315" s="472" t="str">
        <f>ORÇAMENTO!A137</f>
        <v>7.4.13</v>
      </c>
      <c r="B315" s="220" t="str">
        <f>ORÇAMENTO!D137</f>
        <v>HASTE DE ATERRAMENTO 5/8  PARA SPDA - FORNECIMENTO E INSTALAÇÃO. AF_12/2017</v>
      </c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</row>
    <row r="316" spans="1:15" ht="15" x14ac:dyDescent="0.25">
      <c r="A316" s="472"/>
      <c r="B316" s="189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</row>
    <row r="317" spans="1:15" ht="15" x14ac:dyDescent="0.25">
      <c r="A317" s="472"/>
      <c r="B317" s="327" t="s">
        <v>54</v>
      </c>
      <c r="C317" s="325">
        <v>3</v>
      </c>
      <c r="D317" s="326" t="s">
        <v>11</v>
      </c>
      <c r="E317" s="189"/>
      <c r="F317" s="189"/>
      <c r="G317" s="189"/>
      <c r="H317" s="189"/>
      <c r="I317" s="189"/>
      <c r="J317" s="189"/>
      <c r="K317" s="189"/>
      <c r="L317" s="189"/>
    </row>
    <row r="318" spans="1:15" ht="15" x14ac:dyDescent="0.25">
      <c r="A318" s="472"/>
      <c r="B318" s="189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</row>
    <row r="319" spans="1:15" ht="15" x14ac:dyDescent="0.25">
      <c r="A319" s="472" t="str">
        <f>ORÇAMENTO!A138</f>
        <v>7.4.14</v>
      </c>
      <c r="B319" s="220" t="str">
        <f>ORÇAMENTO!D138</f>
        <v>CAIXA DE INSPEÇÃO PARA ATERRAMENTO, CIRCULAR, EM POLIETILENO, DIÂMETRO INTERNO = 0,3 M. AF_05/2018</v>
      </c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</row>
    <row r="320" spans="1:15" ht="15" x14ac:dyDescent="0.25">
      <c r="A320" s="472"/>
      <c r="B320" s="189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</row>
    <row r="321" spans="1:12" ht="15" x14ac:dyDescent="0.25">
      <c r="A321" s="472"/>
      <c r="B321" s="327" t="s">
        <v>54</v>
      </c>
      <c r="C321" s="325">
        <v>3</v>
      </c>
      <c r="D321" s="326" t="s">
        <v>11</v>
      </c>
      <c r="E321" s="189"/>
      <c r="F321" s="189"/>
      <c r="G321" s="189"/>
      <c r="H321" s="189"/>
      <c r="I321" s="189"/>
      <c r="J321" s="189"/>
      <c r="K321" s="189"/>
      <c r="L321" s="189"/>
    </row>
    <row r="322" spans="1:12" ht="15" x14ac:dyDescent="0.25">
      <c r="A322" s="472"/>
      <c r="B322" s="189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</row>
    <row r="323" spans="1:12" ht="15" x14ac:dyDescent="0.25">
      <c r="A323" s="472" t="str">
        <f>ORÇAMENTO!A139</f>
        <v>7.5</v>
      </c>
      <c r="B323" s="220" t="str">
        <f>ORÇAMENTO!D139</f>
        <v>MONUMENTO</v>
      </c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</row>
    <row r="324" spans="1:12" ht="15" x14ac:dyDescent="0.25">
      <c r="A324" s="472"/>
      <c r="B324" s="189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</row>
    <row r="325" spans="1:12" ht="33.75" customHeight="1" x14ac:dyDescent="0.25">
      <c r="A325" s="266" t="str">
        <f>ORÇAMENTO!A140</f>
        <v>7.5.1</v>
      </c>
      <c r="B325" s="1229" t="str">
        <f>ORÇAMENTO!D140</f>
        <v>BASE DO MONUMENTO, 9,85Mx3,00Mx0,20M, EM CONCRETO, INCLUSIVE TENTO, LASTRO E ATERRO. ACABAMENTO COM PISO EM PEDRA ARDÓSIA - FORNECIMENTO E EXECUÇÃO</v>
      </c>
      <c r="C325" s="1229"/>
      <c r="D325" s="1229"/>
      <c r="E325" s="1229"/>
      <c r="F325" s="1229"/>
      <c r="G325" s="1229"/>
      <c r="H325" s="1229"/>
      <c r="I325" s="1229"/>
      <c r="J325" s="1229"/>
      <c r="K325" s="1229"/>
      <c r="L325" s="1229"/>
    </row>
    <row r="326" spans="1:12" ht="15" x14ac:dyDescent="0.25">
      <c r="A326" s="472" t="str">
        <f>ORÇAMENTO!A141</f>
        <v>7.5.2</v>
      </c>
      <c r="B326" s="220" t="str">
        <f>ORÇAMENTO!D141</f>
        <v>FORNECIMENTO INSTALAÇÃO DE MONUMENTO DE TOURO EM CONCRETO ARMADO</v>
      </c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</row>
    <row r="327" spans="1:12" ht="15" x14ac:dyDescent="0.25">
      <c r="A327" s="472"/>
      <c r="B327" s="189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</row>
    <row r="328" spans="1:12" x14ac:dyDescent="0.2">
      <c r="A328" s="191"/>
      <c r="B328" s="327" t="s">
        <v>54</v>
      </c>
      <c r="C328" s="325">
        <v>1</v>
      </c>
      <c r="D328" s="326" t="s">
        <v>11</v>
      </c>
      <c r="E328" s="189"/>
      <c r="F328" s="189"/>
      <c r="G328" s="189"/>
      <c r="H328" s="189"/>
      <c r="I328" s="189"/>
      <c r="J328" s="189"/>
      <c r="K328" s="189"/>
      <c r="L328" s="189"/>
    </row>
    <row r="329" spans="1:12" x14ac:dyDescent="0.2">
      <c r="A329" s="191"/>
      <c r="B329" s="189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</row>
    <row r="330" spans="1:12" x14ac:dyDescent="0.2">
      <c r="A330" s="191"/>
      <c r="B330" s="189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</row>
  </sheetData>
  <mergeCells count="63">
    <mergeCell ref="I129:J129"/>
    <mergeCell ref="B133:L133"/>
    <mergeCell ref="B252:L252"/>
    <mergeCell ref="B103:L103"/>
    <mergeCell ref="B22:L22"/>
    <mergeCell ref="C36:G36"/>
    <mergeCell ref="C49:G49"/>
    <mergeCell ref="B60:L60"/>
    <mergeCell ref="B92:L92"/>
    <mergeCell ref="C95:C98"/>
    <mergeCell ref="B142:L142"/>
    <mergeCell ref="C106:C109"/>
    <mergeCell ref="B120:L120"/>
    <mergeCell ref="B122:L122"/>
    <mergeCell ref="I124:J124"/>
    <mergeCell ref="I125:J125"/>
    <mergeCell ref="B181:L181"/>
    <mergeCell ref="B224:L224"/>
    <mergeCell ref="B244:L244"/>
    <mergeCell ref="B192:L192"/>
    <mergeCell ref="I126:J126"/>
    <mergeCell ref="B135:H135"/>
    <mergeCell ref="B232:L232"/>
    <mergeCell ref="B228:L228"/>
    <mergeCell ref="B216:L216"/>
    <mergeCell ref="B220:L220"/>
    <mergeCell ref="B157:C157"/>
    <mergeCell ref="B158:L158"/>
    <mergeCell ref="B166:L166"/>
    <mergeCell ref="B168:H168"/>
    <mergeCell ref="I127:J127"/>
    <mergeCell ref="I128:J128"/>
    <mergeCell ref="B325:L325"/>
    <mergeCell ref="B236:L236"/>
    <mergeCell ref="B271:K271"/>
    <mergeCell ref="B299:L299"/>
    <mergeCell ref="B303:L303"/>
    <mergeCell ref="B261:L261"/>
    <mergeCell ref="B287:L287"/>
    <mergeCell ref="B283:L283"/>
    <mergeCell ref="B291:L291"/>
    <mergeCell ref="B267:L267"/>
    <mergeCell ref="B248:L248"/>
    <mergeCell ref="B240:L240"/>
    <mergeCell ref="A11:L11"/>
    <mergeCell ref="A13:L13"/>
    <mergeCell ref="K4:L4"/>
    <mergeCell ref="B4:H4"/>
    <mergeCell ref="G9:H9"/>
    <mergeCell ref="B9:F9"/>
    <mergeCell ref="G7:H8"/>
    <mergeCell ref="B5:L5"/>
    <mergeCell ref="B6:L6"/>
    <mergeCell ref="B7:F7"/>
    <mergeCell ref="B8:F8"/>
    <mergeCell ref="A10:K10"/>
    <mergeCell ref="A1:L1"/>
    <mergeCell ref="I4:J4"/>
    <mergeCell ref="I8:L8"/>
    <mergeCell ref="I7:L7"/>
    <mergeCell ref="I9:L9"/>
    <mergeCell ref="A2:M2"/>
    <mergeCell ref="A3:M3"/>
  </mergeCells>
  <pageMargins left="0.71" right="0.51181102362204722" top="0.36" bottom="0.38" header="0.31496062992125984" footer="0.12"/>
  <pageSetup paperSize="9" scale="51" fitToWidth="0" fitToHeight="6" orientation="portrait" r:id="rId1"/>
  <rowBreaks count="2" manualBreakCount="2">
    <brk id="91" max="11" man="1"/>
    <brk id="251" max="1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</sheetPr>
  <dimension ref="A1:M189"/>
  <sheetViews>
    <sheetView view="pageBreakPreview" topLeftCell="A10" zoomScaleNormal="100" zoomScaleSheetLayoutView="100" workbookViewId="0">
      <selection activeCell="M116" sqref="M116"/>
    </sheetView>
  </sheetViews>
  <sheetFormatPr defaultRowHeight="15" x14ac:dyDescent="0.25"/>
  <cols>
    <col min="2" max="2" width="9.42578125" bestFit="1" customWidth="1"/>
    <col min="9" max="9" width="12" customWidth="1"/>
    <col min="11" max="11" width="12.28515625" customWidth="1"/>
  </cols>
  <sheetData>
    <row r="1" spans="1:13" ht="90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</row>
    <row r="2" spans="1:13" ht="21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</row>
    <row r="3" spans="1:13" ht="1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</row>
    <row r="4" spans="1:13" ht="34.5" customHeight="1" x14ac:dyDescent="0.25">
      <c r="A4" s="969" t="s">
        <v>33</v>
      </c>
      <c r="B4" s="970"/>
      <c r="C4" s="1109" t="str">
        <f>COMPOSIÇÕES!B4</f>
        <v>PREFEITURA MUNICIPAL DE BRASIL NOVO/PA</v>
      </c>
      <c r="D4" s="1110"/>
      <c r="E4" s="1110"/>
      <c r="F4" s="1110"/>
      <c r="G4" s="1121"/>
      <c r="H4" s="1128" t="s">
        <v>859</v>
      </c>
      <c r="I4" s="1129"/>
      <c r="J4" s="1126" t="str">
        <f>ORÇAMENTO!J4</f>
        <v>BRASIL NOVO/PA</v>
      </c>
      <c r="K4" s="1127"/>
    </row>
    <row r="5" spans="1:13" ht="22.5" customHeight="1" x14ac:dyDescent="0.25">
      <c r="A5" s="969" t="s">
        <v>860</v>
      </c>
      <c r="B5" s="970"/>
      <c r="C5" s="1109" t="str">
        <f>COMPOSIÇÕES!B5</f>
        <v>CONSTRUÇÃO DE PRAÇA NO MUNICÍPIO DE BRASIL NOVO - PARÁ</v>
      </c>
      <c r="D5" s="1110"/>
      <c r="E5" s="1110"/>
      <c r="F5" s="1110"/>
      <c r="G5" s="1110"/>
      <c r="H5" s="1110"/>
      <c r="I5" s="1110"/>
      <c r="J5" s="1110"/>
      <c r="K5" s="1110"/>
    </row>
    <row r="6" spans="1:13" ht="24.75" customHeight="1" x14ac:dyDescent="0.25">
      <c r="A6" s="969" t="s">
        <v>861</v>
      </c>
      <c r="B6" s="970"/>
      <c r="C6" s="976" t="str">
        <f>ORÇAMENTO!B6</f>
        <v>AVENIDA TRANSAMAZÔNICA S/N, BRASIL NOVO/PA</v>
      </c>
      <c r="D6" s="977"/>
      <c r="E6" s="977"/>
      <c r="F6" s="977"/>
      <c r="G6" s="977"/>
      <c r="H6" s="977"/>
      <c r="I6" s="977"/>
      <c r="J6" s="977"/>
      <c r="K6" s="977"/>
    </row>
    <row r="7" spans="1:13" ht="30" customHeight="1" x14ac:dyDescent="0.25">
      <c r="A7" s="980" t="s">
        <v>80</v>
      </c>
      <c r="B7" s="981"/>
      <c r="C7" s="1153">
        <f>ORÇAMENTO!B7</f>
        <v>0.29769428939090381</v>
      </c>
      <c r="D7" s="1154"/>
      <c r="E7" s="1154"/>
      <c r="F7" s="1155"/>
      <c r="G7" s="1150" t="s">
        <v>34</v>
      </c>
      <c r="H7" s="1151"/>
      <c r="I7" s="1112" t="str">
        <f>ORÇAMENTO!H7</f>
        <v>SINAPI FEVEREIRO 2022 - DESONERADA</v>
      </c>
      <c r="J7" s="1113"/>
      <c r="K7" s="1113"/>
    </row>
    <row r="8" spans="1:13" ht="30.75" customHeight="1" x14ac:dyDescent="0.25">
      <c r="A8" s="969" t="s">
        <v>863</v>
      </c>
      <c r="B8" s="970"/>
      <c r="C8" s="965" t="str">
        <f>ORÇAMENTO!B8</f>
        <v>06 meses</v>
      </c>
      <c r="D8" s="965"/>
      <c r="E8" s="965"/>
      <c r="F8" s="965"/>
      <c r="G8" s="1118"/>
      <c r="H8" s="1119"/>
      <c r="I8" s="1114" t="str">
        <f>ORÇAMENTO!H8</f>
        <v>SEDOP FEVEREIRO 2022 - DESONERADA</v>
      </c>
      <c r="J8" s="1115"/>
      <c r="K8" s="1115"/>
    </row>
    <row r="9" spans="1:13" ht="24" customHeight="1" x14ac:dyDescent="0.25">
      <c r="A9" s="969" t="s">
        <v>865</v>
      </c>
      <c r="B9" s="970"/>
      <c r="C9" s="1124">
        <f>ORÇAMENTO!B9</f>
        <v>1202969.1098858207</v>
      </c>
      <c r="D9" s="1146"/>
      <c r="E9" s="1146"/>
      <c r="F9" s="1125"/>
      <c r="G9" s="1103" t="s">
        <v>864</v>
      </c>
      <c r="H9" s="1104"/>
      <c r="I9" s="1101">
        <f>ORÇAMENTO!H9</f>
        <v>44749</v>
      </c>
      <c r="J9" s="1102"/>
      <c r="K9" s="1102"/>
    </row>
    <row r="10" spans="1:13" ht="15.75" thickBot="1" x14ac:dyDescent="0.3">
      <c r="A10" s="1173"/>
      <c r="B10" s="1174"/>
      <c r="C10" s="1174"/>
      <c r="D10" s="1174"/>
      <c r="E10" s="1174"/>
      <c r="F10" s="1174"/>
      <c r="G10" s="1174"/>
      <c r="H10" s="1174"/>
      <c r="I10" s="1174"/>
      <c r="J10" s="1174"/>
      <c r="K10" s="1174"/>
    </row>
    <row r="11" spans="1:13" ht="15.75" thickBot="1" x14ac:dyDescent="0.3">
      <c r="A11" s="1140" t="s">
        <v>250</v>
      </c>
      <c r="B11" s="1141"/>
      <c r="C11" s="1141"/>
      <c r="D11" s="1141"/>
      <c r="E11" s="1141"/>
      <c r="F11" s="1141"/>
      <c r="G11" s="1141"/>
      <c r="H11" s="1141"/>
      <c r="I11" s="1141"/>
      <c r="J11" s="1141"/>
      <c r="K11" s="1141"/>
    </row>
    <row r="12" spans="1:13" ht="15.75" thickBot="1" x14ac:dyDescent="0.3">
      <c r="A12" s="463"/>
      <c r="B12" s="464"/>
      <c r="C12" s="464"/>
      <c r="D12" s="464"/>
      <c r="E12" s="464"/>
      <c r="F12" s="464"/>
      <c r="G12" s="464"/>
      <c r="H12" s="464"/>
      <c r="I12" s="464"/>
      <c r="J12" s="464"/>
      <c r="K12" s="464"/>
    </row>
    <row r="13" spans="1:13" ht="15.75" thickBot="1" x14ac:dyDescent="0.3">
      <c r="A13" s="1172" t="str">
        <f>ORÇAMENTO!D142</f>
        <v>INSTALAÇÕES ELÉTRICAS - PRAÇA</v>
      </c>
      <c r="B13" s="1136"/>
      <c r="C13" s="1136"/>
      <c r="D13" s="1136"/>
      <c r="E13" s="1136"/>
      <c r="F13" s="1136"/>
      <c r="G13" s="1136"/>
      <c r="H13" s="1136"/>
      <c r="I13" s="1136"/>
      <c r="J13" s="1136"/>
      <c r="K13" s="1136"/>
    </row>
    <row r="14" spans="1:13" x14ac:dyDescent="0.2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5" spans="1:13" s="330" customFormat="1" x14ac:dyDescent="0.25">
      <c r="A15" s="167">
        <f>ORÇAMENTO!A142</f>
        <v>8</v>
      </c>
      <c r="B15" s="1247" t="str">
        <f>ORÇAMENTO!D142</f>
        <v>INSTALAÇÕES ELÉTRICAS - PRAÇA</v>
      </c>
      <c r="C15" s="1247"/>
      <c r="D15" s="1247"/>
      <c r="E15" s="1247"/>
      <c r="F15" s="1247"/>
      <c r="G15" s="1247"/>
      <c r="H15" s="1247"/>
      <c r="I15" s="1247"/>
      <c r="J15" s="1247"/>
      <c r="K15" s="1247"/>
    </row>
    <row r="16" spans="1:13" ht="24.75" customHeight="1" x14ac:dyDescent="0.25">
      <c r="A16" s="1253" t="str">
        <f>ORÇAMENTO!A143</f>
        <v>8.1</v>
      </c>
      <c r="B16" s="1249" t="str">
        <f>ORÇAMENTO!D143</f>
        <v>POSTE CONICO CONTINUO EM ACO GALVANIZADO, RETO, FLANGEADO, H = 5 M, DIAMETRO INFERIOR = *125* MM COM LUMINARIA DE LED PARA ILUMINACAO PUBLICA, DE 120 W, INVOLUCRO EM ALUMINIO OU ACO INOX, (DECORATIVA )  - FORNECIMENTO E INSTALAÇÃO</v>
      </c>
      <c r="C16" s="1249"/>
      <c r="D16" s="1249"/>
      <c r="E16" s="1249"/>
      <c r="F16" s="1249"/>
      <c r="G16" s="1249"/>
      <c r="H16" s="1249"/>
      <c r="I16" s="1249"/>
      <c r="J16" s="1249"/>
      <c r="K16" s="1249"/>
    </row>
    <row r="17" spans="1:11" ht="23.25" customHeight="1" x14ac:dyDescent="0.25">
      <c r="A17" s="1253"/>
      <c r="B17" s="1249"/>
      <c r="C17" s="1249"/>
      <c r="D17" s="1249"/>
      <c r="E17" s="1249"/>
      <c r="F17" s="1249"/>
      <c r="G17" s="1249"/>
      <c r="H17" s="1249"/>
      <c r="I17" s="1249"/>
      <c r="J17" s="1249"/>
      <c r="K17" s="1249"/>
    </row>
    <row r="18" spans="1:11" x14ac:dyDescent="0.25">
      <c r="A18" s="53"/>
      <c r="B18" s="106"/>
      <c r="C18" s="106"/>
      <c r="D18" s="106"/>
      <c r="E18" s="106"/>
      <c r="F18" s="106"/>
      <c r="G18" s="106"/>
      <c r="H18" s="106"/>
      <c r="I18" s="106"/>
      <c r="J18" s="106"/>
      <c r="K18" s="106"/>
    </row>
    <row r="19" spans="1:11" x14ac:dyDescent="0.25">
      <c r="A19" s="53"/>
      <c r="B19" s="59" t="s">
        <v>73</v>
      </c>
      <c r="C19" s="340">
        <v>25</v>
      </c>
      <c r="D19" s="60" t="s">
        <v>124</v>
      </c>
      <c r="E19" s="53"/>
      <c r="F19" s="53"/>
      <c r="G19" s="53"/>
      <c r="H19" s="53"/>
      <c r="I19" s="53"/>
      <c r="J19" s="53"/>
      <c r="K19" s="53"/>
    </row>
    <row r="20" spans="1:11" x14ac:dyDescent="0.25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</row>
    <row r="21" spans="1:11" ht="34.5" customHeight="1" x14ac:dyDescent="0.25">
      <c r="A21" s="351" t="str">
        <f>ORÇAMENTO!A144</f>
        <v>8.2</v>
      </c>
      <c r="B21" s="1248" t="str">
        <f>ORÇAMENTO!D144</f>
        <v>ELETRODUTO FLEXÍVEL CORRUGADO, PVC, DN 25 MM (3/4"), PARA CIRCUITOS TERMINAIS, INSTALADO EM LAJE -FORNECIMENTO E INSTALAÇÃO. AF_12/2015</v>
      </c>
      <c r="C21" s="1248"/>
      <c r="D21" s="1248"/>
      <c r="E21" s="1248"/>
      <c r="F21" s="1248"/>
      <c r="G21" s="1248"/>
      <c r="H21" s="1248"/>
      <c r="I21" s="1248"/>
      <c r="J21" s="1248"/>
      <c r="K21" s="1248"/>
    </row>
    <row r="22" spans="1:11" ht="15.75" customHeight="1" x14ac:dyDescent="0.2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 x14ac:dyDescent="0.25">
      <c r="A23" s="53"/>
      <c r="B23" s="59" t="s">
        <v>73</v>
      </c>
      <c r="C23" s="340">
        <v>572.5</v>
      </c>
      <c r="D23" s="60" t="s">
        <v>52</v>
      </c>
      <c r="E23" s="53"/>
      <c r="F23" s="53"/>
      <c r="G23" s="53"/>
      <c r="H23" s="53"/>
      <c r="I23" s="53"/>
      <c r="J23" s="53"/>
      <c r="K23" s="53"/>
    </row>
    <row r="24" spans="1:11" x14ac:dyDescent="0.25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 ht="30" customHeight="1" x14ac:dyDescent="0.25">
      <c r="A25" s="351" t="str">
        <f>ORÇAMENTO!A145</f>
        <v>8.3</v>
      </c>
      <c r="B25" s="1249" t="str">
        <f>ORÇAMENTO!D145</f>
        <v>ELETRODUTO FLEXÍVEL CORRUGADO, PEAD, DN 40 MM (1 1/4"), PARA CIRCUITOS TERMINAIS, INSTALADO EM PAREDE - FORNECIMENTO E INSTALAÇÃO. AF_12/2015</v>
      </c>
      <c r="C25" s="1249"/>
      <c r="D25" s="1249"/>
      <c r="E25" s="1249"/>
      <c r="F25" s="1249"/>
      <c r="G25" s="1249"/>
      <c r="H25" s="1249"/>
      <c r="I25" s="1249"/>
      <c r="J25" s="1249"/>
      <c r="K25" s="1249"/>
    </row>
    <row r="26" spans="1:11" x14ac:dyDescent="0.2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 x14ac:dyDescent="0.25">
      <c r="A27" s="53"/>
      <c r="B27" s="59" t="s">
        <v>73</v>
      </c>
      <c r="C27" s="340">
        <v>74.5</v>
      </c>
      <c r="D27" s="60" t="s">
        <v>52</v>
      </c>
      <c r="E27" s="53"/>
      <c r="F27" s="53"/>
      <c r="G27" s="53"/>
      <c r="H27" s="53"/>
      <c r="I27" s="53"/>
      <c r="J27" s="53"/>
      <c r="K27" s="53"/>
    </row>
    <row r="28" spans="1:11" x14ac:dyDescent="0.2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x14ac:dyDescent="0.25">
      <c r="A29" s="1253" t="str">
        <f>ORÇAMENTO!A146</f>
        <v>8.4</v>
      </c>
      <c r="B29" s="1248" t="str">
        <f>ORÇAMENTO!D146</f>
        <v xml:space="preserve"> ELETRODUTO RÍGIDO ROSCÁVEL, PVC, DN 85 MM (3") - FORNECIMENTO E INSTALAÇÃO. AF_12/2015</v>
      </c>
      <c r="C29" s="1248"/>
      <c r="D29" s="1248"/>
      <c r="E29" s="1248"/>
      <c r="F29" s="1248"/>
      <c r="G29" s="1248"/>
      <c r="H29" s="1248"/>
      <c r="I29" s="1248"/>
      <c r="J29" s="1248"/>
      <c r="K29" s="1248"/>
    </row>
    <row r="30" spans="1:11" x14ac:dyDescent="0.25">
      <c r="A30" s="1253"/>
      <c r="B30" s="1248"/>
      <c r="C30" s="1248"/>
      <c r="D30" s="1248"/>
      <c r="E30" s="1248"/>
      <c r="F30" s="1248"/>
      <c r="G30" s="1248"/>
      <c r="H30" s="1248"/>
      <c r="I30" s="1248"/>
      <c r="J30" s="1248"/>
      <c r="K30" s="1248"/>
    </row>
    <row r="31" spans="1:11" x14ac:dyDescent="0.25">
      <c r="A31" s="53"/>
      <c r="B31" s="4" t="s">
        <v>251</v>
      </c>
      <c r="D31" s="4"/>
      <c r="E31" s="53"/>
      <c r="F31" s="53"/>
      <c r="G31" s="53"/>
      <c r="H31" s="53"/>
      <c r="I31" s="53"/>
      <c r="J31" s="53"/>
      <c r="K31" s="53"/>
    </row>
    <row r="32" spans="1:11" x14ac:dyDescent="0.25">
      <c r="A32" s="53"/>
      <c r="B32" s="59" t="s">
        <v>73</v>
      </c>
      <c r="C32" s="340">
        <v>300.05</v>
      </c>
      <c r="D32" s="60" t="s">
        <v>52</v>
      </c>
      <c r="E32" s="53"/>
      <c r="F32" s="53"/>
      <c r="G32" s="53"/>
      <c r="H32" s="53"/>
      <c r="I32" s="53"/>
      <c r="J32" s="53"/>
      <c r="K32" s="53"/>
    </row>
    <row r="33" spans="1:11" x14ac:dyDescent="0.25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 x14ac:dyDescent="0.25">
      <c r="A34" s="1253" t="str">
        <f>ORÇAMENTO!A147</f>
        <v>8.5</v>
      </c>
      <c r="B34" s="1248" t="str">
        <f>ORÇAMENTO!D147</f>
        <v>CABO DE COBRE FLEXÍVEL ISOLADO, 2,5 MM², ANTI-CHAMA 0,6/1,0 KV, PARA CIRCUITOS TERMINAIS - FORNECIMENTO E INSTALAÇÃO. AF_12/2015</v>
      </c>
      <c r="C34" s="1249"/>
      <c r="D34" s="1249"/>
      <c r="E34" s="1249"/>
      <c r="F34" s="1249"/>
      <c r="G34" s="1249"/>
      <c r="H34" s="1249"/>
      <c r="I34" s="1249"/>
      <c r="J34" s="1249"/>
      <c r="K34" s="1249"/>
    </row>
    <row r="35" spans="1:11" x14ac:dyDescent="0.25">
      <c r="A35" s="1253"/>
      <c r="B35" s="1249"/>
      <c r="C35" s="1249"/>
      <c r="D35" s="1249"/>
      <c r="E35" s="1249"/>
      <c r="F35" s="1249"/>
      <c r="G35" s="1249"/>
      <c r="H35" s="1249"/>
      <c r="I35" s="1249"/>
      <c r="J35" s="1249"/>
      <c r="K35" s="1249"/>
    </row>
    <row r="36" spans="1:11" x14ac:dyDescent="0.25">
      <c r="A36" s="53"/>
      <c r="B36" s="4" t="s">
        <v>251</v>
      </c>
      <c r="D36" s="4"/>
      <c r="E36" s="53"/>
      <c r="F36" s="53"/>
      <c r="G36" s="53"/>
      <c r="H36" s="53"/>
      <c r="I36" s="53"/>
      <c r="J36" s="53"/>
      <c r="K36" s="53"/>
    </row>
    <row r="37" spans="1:11" x14ac:dyDescent="0.25">
      <c r="A37" s="53"/>
      <c r="B37" s="234">
        <v>201.4</v>
      </c>
      <c r="C37" s="234">
        <v>204.95</v>
      </c>
      <c r="D37" s="234">
        <v>81.5</v>
      </c>
      <c r="E37" s="234">
        <v>73.5</v>
      </c>
      <c r="F37" s="234">
        <v>72.599999999999994</v>
      </c>
      <c r="G37" s="234">
        <v>32.65</v>
      </c>
      <c r="H37" s="234">
        <v>52.85</v>
      </c>
      <c r="I37" s="53"/>
      <c r="J37" s="53"/>
      <c r="K37" s="53"/>
    </row>
    <row r="38" spans="1:11" x14ac:dyDescent="0.25">
      <c r="A38" s="53"/>
      <c r="B38" s="339">
        <v>128.30000000000001</v>
      </c>
      <c r="C38" s="339">
        <v>59.6</v>
      </c>
      <c r="D38" s="339">
        <v>109.65</v>
      </c>
      <c r="E38" s="234">
        <v>81.05</v>
      </c>
      <c r="F38" s="234">
        <v>81.05</v>
      </c>
      <c r="G38" s="234">
        <v>74.599999999999994</v>
      </c>
      <c r="H38" s="234">
        <v>81.05</v>
      </c>
      <c r="I38" s="53"/>
      <c r="J38" s="53"/>
      <c r="K38" s="53"/>
    </row>
    <row r="39" spans="1:11" x14ac:dyDescent="0.25">
      <c r="A39" s="53"/>
      <c r="B39" s="339">
        <v>81.05</v>
      </c>
      <c r="C39" s="339" t="s">
        <v>23</v>
      </c>
      <c r="D39" s="339">
        <f>SUM(B37+C37+D37+E37+F37+G37+H37+H38+G38+F38+E38+D38+C38+B38+B39)</f>
        <v>1415.8</v>
      </c>
      <c r="E39" s="234" t="s">
        <v>22</v>
      </c>
      <c r="F39" s="234">
        <v>3</v>
      </c>
      <c r="G39" s="234" t="s">
        <v>23</v>
      </c>
      <c r="H39" s="234">
        <f>SUM(D39*F39)</f>
        <v>4247.3999999999996</v>
      </c>
      <c r="I39" s="53"/>
      <c r="J39" s="53"/>
      <c r="K39" s="53"/>
    </row>
    <row r="40" spans="1:11" x14ac:dyDescent="0.25">
      <c r="A40" s="53"/>
      <c r="B40" s="4"/>
      <c r="D40" s="4"/>
      <c r="E40" s="53"/>
      <c r="F40" s="53"/>
      <c r="G40" s="53"/>
      <c r="H40" s="53"/>
      <c r="I40" s="53"/>
      <c r="J40" s="53"/>
      <c r="K40" s="53"/>
    </row>
    <row r="41" spans="1:11" x14ac:dyDescent="0.25">
      <c r="A41" s="53"/>
      <c r="B41" s="59" t="s">
        <v>73</v>
      </c>
      <c r="C41" s="340">
        <f>H39</f>
        <v>4247.3999999999996</v>
      </c>
      <c r="D41" s="60" t="s">
        <v>52</v>
      </c>
      <c r="E41" s="53"/>
      <c r="F41" s="53"/>
      <c r="G41" s="53"/>
      <c r="H41" s="53"/>
      <c r="I41" s="53"/>
      <c r="J41" s="53"/>
      <c r="K41" s="53"/>
    </row>
    <row r="42" spans="1:11" x14ac:dyDescent="0.25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 x14ac:dyDescent="0.25">
      <c r="A43" s="1253" t="str">
        <f>ORÇAMENTO!A148</f>
        <v>8.6</v>
      </c>
      <c r="B43" s="1248" t="str">
        <f>ORÇAMENTO!D148</f>
        <v>CABO DE COBRE FLEXÍVEL ISOLADO, 4 MM², ANTI-CHAMA 0,6/1,0 KV, PARA CIRCUITOS TERMINAIS - FORNECIMENTO E INSTALAÇÃO. AF12/2015</v>
      </c>
      <c r="C43" s="1249"/>
      <c r="D43" s="1249"/>
      <c r="E43" s="1249"/>
      <c r="F43" s="1249"/>
      <c r="G43" s="1249"/>
      <c r="H43" s="1249"/>
      <c r="I43" s="1249"/>
      <c r="J43" s="1249"/>
      <c r="K43" s="1249"/>
    </row>
    <row r="44" spans="1:11" x14ac:dyDescent="0.25">
      <c r="A44" s="1253"/>
      <c r="B44" s="1249"/>
      <c r="C44" s="1249"/>
      <c r="D44" s="1249"/>
      <c r="E44" s="1249"/>
      <c r="F44" s="1249"/>
      <c r="G44" s="1249"/>
      <c r="H44" s="1249"/>
      <c r="I44" s="1249"/>
      <c r="J44" s="1249"/>
      <c r="K44" s="1249"/>
    </row>
    <row r="45" spans="1:11" x14ac:dyDescent="0.25">
      <c r="A45" s="53"/>
      <c r="B45" s="4" t="s">
        <v>251</v>
      </c>
      <c r="D45" s="4"/>
      <c r="E45" s="53"/>
      <c r="F45" s="53"/>
      <c r="G45" s="53"/>
      <c r="H45" s="53"/>
      <c r="I45" s="53"/>
      <c r="J45" s="53"/>
      <c r="K45" s="53"/>
    </row>
    <row r="46" spans="1:11" ht="20.25" customHeight="1" x14ac:dyDescent="0.25">
      <c r="A46" s="53"/>
      <c r="B46" s="1252" t="s">
        <v>151</v>
      </c>
      <c r="C46" s="1252"/>
      <c r="D46" s="338"/>
      <c r="E46" s="338"/>
      <c r="F46" s="338"/>
      <c r="G46" s="338"/>
      <c r="H46" s="338"/>
      <c r="I46" s="53"/>
      <c r="J46" s="53"/>
      <c r="K46" s="53"/>
    </row>
    <row r="47" spans="1:11" x14ac:dyDescent="0.25">
      <c r="A47" s="53"/>
      <c r="B47" s="339">
        <f>SUM(204.95*2)</f>
        <v>409.9</v>
      </c>
      <c r="C47" s="339" t="s">
        <v>23</v>
      </c>
      <c r="D47" s="339">
        <f>SUM(B47)</f>
        <v>409.9</v>
      </c>
      <c r="E47" s="234" t="s">
        <v>22</v>
      </c>
      <c r="F47" s="234">
        <v>3</v>
      </c>
      <c r="G47" s="234" t="s">
        <v>23</v>
      </c>
      <c r="H47" s="234">
        <f>SUM(D47*F47)</f>
        <v>1229.6999999999998</v>
      </c>
      <c r="I47" s="53"/>
      <c r="J47" s="53"/>
      <c r="K47" s="53"/>
    </row>
    <row r="48" spans="1:11" x14ac:dyDescent="0.25">
      <c r="A48" s="53"/>
      <c r="B48" s="4"/>
      <c r="D48" s="4"/>
      <c r="E48" s="53"/>
      <c r="F48" s="53"/>
      <c r="G48" s="53"/>
      <c r="H48" s="53"/>
      <c r="I48" s="53"/>
      <c r="J48" s="53"/>
      <c r="K48" s="53"/>
    </row>
    <row r="49" spans="1:11" x14ac:dyDescent="0.25">
      <c r="A49" s="53"/>
      <c r="B49" s="59" t="s">
        <v>73</v>
      </c>
      <c r="C49" s="340">
        <f>H47</f>
        <v>1229.6999999999998</v>
      </c>
      <c r="D49" s="60" t="s">
        <v>52</v>
      </c>
      <c r="E49" s="53"/>
      <c r="F49" s="53"/>
      <c r="G49" s="53"/>
      <c r="H49" s="53"/>
      <c r="I49" s="53"/>
      <c r="J49" s="53"/>
      <c r="K49" s="53"/>
    </row>
    <row r="50" spans="1:11" x14ac:dyDescent="0.25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 x14ac:dyDescent="0.25">
      <c r="A51" s="1253" t="str">
        <f>ORÇAMENTO!A149</f>
        <v>8.7</v>
      </c>
      <c r="B51" s="1248" t="str">
        <f>ORÇAMENTO!D149</f>
        <v>CABO DE COBRE FLEXÍVEL ISOLADO, 16 MM², ANTI-CHAMA 0,6/1,0 KV, PARA CIRCUITOS TERMINAIS - FORNECIMENTO E INSTALAÇÃO. AF_12/2015</v>
      </c>
      <c r="C51" s="1249"/>
      <c r="D51" s="1249"/>
      <c r="E51" s="1249"/>
      <c r="F51" s="1249"/>
      <c r="G51" s="1249"/>
      <c r="H51" s="1249"/>
      <c r="I51" s="1249"/>
      <c r="J51" s="1249"/>
      <c r="K51" s="1249"/>
    </row>
    <row r="52" spans="1:11" x14ac:dyDescent="0.25">
      <c r="A52" s="1253"/>
      <c r="B52" s="1249"/>
      <c r="C52" s="1249"/>
      <c r="D52" s="1249"/>
      <c r="E52" s="1249"/>
      <c r="F52" s="1249"/>
      <c r="G52" s="1249"/>
      <c r="H52" s="1249"/>
      <c r="I52" s="1249"/>
      <c r="J52" s="1249"/>
      <c r="K52" s="1249"/>
    </row>
    <row r="53" spans="1:11" x14ac:dyDescent="0.25">
      <c r="A53" s="53"/>
      <c r="B53" s="4" t="s">
        <v>251</v>
      </c>
      <c r="D53" s="4"/>
      <c r="E53" s="53"/>
      <c r="F53" s="53"/>
      <c r="G53" s="53"/>
      <c r="H53" s="53"/>
      <c r="I53" s="53"/>
      <c r="J53" s="53"/>
      <c r="K53" s="53"/>
    </row>
    <row r="54" spans="1:11" ht="18" customHeight="1" x14ac:dyDescent="0.25">
      <c r="A54" s="53"/>
      <c r="B54" s="1252" t="s">
        <v>151</v>
      </c>
      <c r="C54" s="1252"/>
      <c r="D54" s="338"/>
      <c r="E54" s="338"/>
      <c r="F54" s="338"/>
      <c r="G54" s="338"/>
      <c r="H54" s="338"/>
      <c r="I54" s="338"/>
      <c r="J54" s="53"/>
      <c r="K54" s="53"/>
    </row>
    <row r="55" spans="1:11" x14ac:dyDescent="0.25">
      <c r="A55" s="53"/>
      <c r="B55" s="339">
        <v>30</v>
      </c>
      <c r="C55" s="339" t="s">
        <v>23</v>
      </c>
      <c r="D55" s="339">
        <f>SUM(B55)</f>
        <v>30</v>
      </c>
      <c r="E55" s="234" t="s">
        <v>22</v>
      </c>
      <c r="F55" s="234">
        <v>3</v>
      </c>
      <c r="G55" s="234" t="s">
        <v>23</v>
      </c>
      <c r="H55" s="234">
        <f>SUM(D55*F55)</f>
        <v>90</v>
      </c>
      <c r="I55" s="53"/>
      <c r="J55" s="53"/>
      <c r="K55" s="53"/>
    </row>
    <row r="56" spans="1:11" x14ac:dyDescent="0.25">
      <c r="A56" s="53"/>
      <c r="B56" s="4"/>
      <c r="D56" s="4"/>
      <c r="E56" s="53"/>
      <c r="F56" s="53"/>
      <c r="G56" s="53"/>
      <c r="H56" s="53"/>
      <c r="I56" s="53"/>
      <c r="J56" s="53"/>
      <c r="K56" s="53"/>
    </row>
    <row r="57" spans="1:11" x14ac:dyDescent="0.25">
      <c r="A57" s="53"/>
      <c r="B57" s="59" t="s">
        <v>73</v>
      </c>
      <c r="C57" s="340">
        <f>H55</f>
        <v>90</v>
      </c>
      <c r="D57" s="60" t="s">
        <v>52</v>
      </c>
      <c r="E57" s="53"/>
      <c r="F57" s="53"/>
      <c r="G57" s="53"/>
      <c r="H57" s="53"/>
      <c r="I57" s="53"/>
      <c r="J57" s="53"/>
      <c r="K57" s="53"/>
    </row>
    <row r="58" spans="1:1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 x14ac:dyDescent="0.25">
      <c r="A59" s="1253" t="str">
        <f>ORÇAMENTO!A150</f>
        <v>8.8</v>
      </c>
      <c r="B59" s="1248" t="str">
        <f>ORÇAMENTO!D150</f>
        <v>QUADRO DE MEDIÇÃO GERAL DE ENERGIA COM 8 MEDIDORES - FORNECIMENTO E INSTALAÇÃO. AF_10/2020</v>
      </c>
      <c r="C59" s="1249"/>
      <c r="D59" s="1249"/>
      <c r="E59" s="1249"/>
      <c r="F59" s="1249"/>
      <c r="G59" s="1249"/>
      <c r="H59" s="1249"/>
      <c r="I59" s="1249"/>
      <c r="J59" s="1249"/>
      <c r="K59" s="1249"/>
    </row>
    <row r="60" spans="1:11" x14ac:dyDescent="0.25">
      <c r="A60" s="1253"/>
      <c r="B60" s="1249"/>
      <c r="C60" s="1249"/>
      <c r="D60" s="1249"/>
      <c r="E60" s="1249"/>
      <c r="F60" s="1249"/>
      <c r="G60" s="1249"/>
      <c r="H60" s="1249"/>
      <c r="I60" s="1249"/>
      <c r="J60" s="1249"/>
      <c r="K60" s="1249"/>
    </row>
    <row r="61" spans="1:11" x14ac:dyDescent="0.25">
      <c r="A61" s="53"/>
      <c r="B61" s="4" t="s">
        <v>251</v>
      </c>
      <c r="D61" s="4"/>
      <c r="E61" s="53"/>
      <c r="F61" s="53"/>
      <c r="G61" s="53"/>
      <c r="H61" s="53"/>
      <c r="I61" s="53"/>
      <c r="J61" s="53"/>
      <c r="K61" s="53"/>
    </row>
    <row r="62" spans="1:11" x14ac:dyDescent="0.25">
      <c r="A62" s="53"/>
      <c r="B62" s="59" t="s">
        <v>73</v>
      </c>
      <c r="C62" s="340">
        <v>1</v>
      </c>
      <c r="D62" s="60" t="s">
        <v>124</v>
      </c>
      <c r="E62" s="53"/>
      <c r="F62" s="53"/>
      <c r="G62" s="53"/>
      <c r="H62" s="53"/>
      <c r="I62" s="53"/>
      <c r="J62" s="53"/>
      <c r="K62" s="53"/>
    </row>
    <row r="63" spans="1:1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 x14ac:dyDescent="0.25">
      <c r="A64" s="1253" t="str">
        <f>ORÇAMENTO!A151</f>
        <v>8.9</v>
      </c>
      <c r="B64" s="1250" t="str">
        <f>ORÇAMENTO!D151</f>
        <v>Quadro de mediçao trifasico (c/ disjuntor)</v>
      </c>
      <c r="C64" s="1251"/>
      <c r="D64" s="1251"/>
      <c r="E64" s="1251"/>
      <c r="F64" s="1251"/>
      <c r="G64" s="1251"/>
      <c r="H64" s="1251"/>
      <c r="I64" s="1251"/>
      <c r="J64" s="1251"/>
      <c r="K64" s="1251"/>
    </row>
    <row r="65" spans="1:11" x14ac:dyDescent="0.25">
      <c r="A65" s="1253"/>
      <c r="B65" s="1251"/>
      <c r="C65" s="1251"/>
      <c r="D65" s="1251"/>
      <c r="E65" s="1251"/>
      <c r="F65" s="1251"/>
      <c r="G65" s="1251"/>
      <c r="H65" s="1251"/>
      <c r="I65" s="1251"/>
      <c r="J65" s="1251"/>
      <c r="K65" s="1251"/>
    </row>
    <row r="66" spans="1:11" x14ac:dyDescent="0.25">
      <c r="A66" s="53"/>
      <c r="B66" s="4" t="s">
        <v>251</v>
      </c>
      <c r="D66" s="4"/>
      <c r="E66" s="53"/>
      <c r="F66" s="53"/>
      <c r="G66" s="53"/>
      <c r="H66" s="53"/>
      <c r="I66" s="53"/>
      <c r="J66" s="53"/>
      <c r="K66" s="53"/>
    </row>
    <row r="67" spans="1:11" x14ac:dyDescent="0.25">
      <c r="A67" s="53"/>
      <c r="B67" s="59" t="s">
        <v>73</v>
      </c>
      <c r="C67" s="340">
        <v>1</v>
      </c>
      <c r="D67" s="60" t="s">
        <v>124</v>
      </c>
      <c r="E67" s="53"/>
      <c r="F67" s="53"/>
      <c r="G67" s="53"/>
      <c r="H67" s="53"/>
      <c r="I67" s="53"/>
      <c r="J67" s="53"/>
      <c r="K67" s="53"/>
    </row>
    <row r="68" spans="1:11" x14ac:dyDescent="0.25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 x14ac:dyDescent="0.25">
      <c r="A69" s="1253" t="str">
        <f>ORÇAMENTO!A152</f>
        <v>8.10</v>
      </c>
      <c r="B69" s="1250" t="str">
        <f>ORÇAMENTO!D152</f>
        <v>Centro de distribuiçao p/ 24 disjuntores (c/ barramento)</v>
      </c>
      <c r="C69" s="1251"/>
      <c r="D69" s="1251"/>
      <c r="E69" s="1251"/>
      <c r="F69" s="1251"/>
      <c r="G69" s="1251"/>
      <c r="H69" s="1251"/>
      <c r="I69" s="1251"/>
      <c r="J69" s="1251"/>
      <c r="K69" s="1251"/>
    </row>
    <row r="70" spans="1:11" x14ac:dyDescent="0.25">
      <c r="A70" s="1253"/>
      <c r="B70" s="1251"/>
      <c r="C70" s="1251"/>
      <c r="D70" s="1251"/>
      <c r="E70" s="1251"/>
      <c r="F70" s="1251"/>
      <c r="G70" s="1251"/>
      <c r="H70" s="1251"/>
      <c r="I70" s="1251"/>
      <c r="J70" s="1251"/>
      <c r="K70" s="1251"/>
    </row>
    <row r="71" spans="1:11" x14ac:dyDescent="0.25">
      <c r="A71" s="53"/>
      <c r="B71" s="4" t="s">
        <v>251</v>
      </c>
      <c r="D71" s="4"/>
      <c r="E71" s="53"/>
      <c r="F71" s="53"/>
      <c r="G71" s="53"/>
      <c r="H71" s="53"/>
      <c r="I71" s="53"/>
      <c r="J71" s="53"/>
      <c r="K71" s="53"/>
    </row>
    <row r="72" spans="1:11" x14ac:dyDescent="0.25">
      <c r="A72" s="53"/>
      <c r="B72" s="59" t="s">
        <v>73</v>
      </c>
      <c r="C72" s="340">
        <v>1</v>
      </c>
      <c r="D72" s="60" t="s">
        <v>124</v>
      </c>
      <c r="E72" s="53"/>
      <c r="F72" s="53"/>
      <c r="G72" s="53"/>
      <c r="H72" s="53"/>
      <c r="I72" s="53"/>
      <c r="J72" s="53"/>
      <c r="K72" s="53"/>
    </row>
    <row r="73" spans="1:11" x14ac:dyDescent="0.25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 x14ac:dyDescent="0.25">
      <c r="A74" s="1253" t="str">
        <f>ORÇAMENTO!A153</f>
        <v>8.11</v>
      </c>
      <c r="B74" s="1248" t="str">
        <f>ORÇAMENTO!D153</f>
        <v>DISJUNTOR MONOPOLAR TIPO DIN, CORRENTE NOMINAL DE 16A - FORNECIMENTO E INSTALAÇÃO. AF_10/2020</v>
      </c>
      <c r="C74" s="1249"/>
      <c r="D74" s="1249"/>
      <c r="E74" s="1249"/>
      <c r="F74" s="1249"/>
      <c r="G74" s="1249"/>
      <c r="H74" s="1249"/>
      <c r="I74" s="1249"/>
      <c r="J74" s="1249"/>
      <c r="K74" s="1249"/>
    </row>
    <row r="75" spans="1:11" x14ac:dyDescent="0.25">
      <c r="A75" s="1253"/>
      <c r="B75" s="1249"/>
      <c r="C75" s="1249"/>
      <c r="D75" s="1249"/>
      <c r="E75" s="1249"/>
      <c r="F75" s="1249"/>
      <c r="G75" s="1249"/>
      <c r="H75" s="1249"/>
      <c r="I75" s="1249"/>
      <c r="J75" s="1249"/>
      <c r="K75" s="1249"/>
    </row>
    <row r="76" spans="1:11" x14ac:dyDescent="0.25">
      <c r="A76" s="53"/>
      <c r="B76" s="4" t="s">
        <v>251</v>
      </c>
      <c r="D76" s="4"/>
      <c r="E76" s="53"/>
      <c r="F76" s="53"/>
      <c r="G76" s="53"/>
      <c r="H76" s="53"/>
      <c r="I76" s="53"/>
      <c r="J76" s="53"/>
      <c r="K76" s="53"/>
    </row>
    <row r="77" spans="1:11" x14ac:dyDescent="0.25">
      <c r="A77" s="53"/>
      <c r="B77" s="59" t="s">
        <v>73</v>
      </c>
      <c r="C77" s="340">
        <v>8</v>
      </c>
      <c r="D77" s="60" t="s">
        <v>124</v>
      </c>
      <c r="E77" s="53"/>
      <c r="F77" s="53"/>
      <c r="G77" s="53"/>
      <c r="H77" s="53"/>
      <c r="I77" s="53"/>
      <c r="J77" s="53"/>
      <c r="K77" s="53"/>
    </row>
    <row r="78" spans="1:11" x14ac:dyDescent="0.25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11" x14ac:dyDescent="0.25">
      <c r="A79" s="1253" t="str">
        <f>ORÇAMENTO!A154</f>
        <v>8.12</v>
      </c>
      <c r="B79" s="1250" t="str">
        <f>ORÇAMENTO!D154</f>
        <v>DISJUNTOR BIPOLAR TIPO DIN, CORRENTE NOMINAL DE 16A - FORNECIMENTO E INSTALAÇÃO. AF_10/2020</v>
      </c>
      <c r="C79" s="1251"/>
      <c r="D79" s="1251"/>
      <c r="E79" s="1251"/>
      <c r="F79" s="1251"/>
      <c r="G79" s="1251"/>
      <c r="H79" s="1251"/>
      <c r="I79" s="1251"/>
      <c r="J79" s="1251"/>
      <c r="K79" s="1251"/>
    </row>
    <row r="80" spans="1:11" x14ac:dyDescent="0.25">
      <c r="A80" s="1253"/>
      <c r="B80" s="1251"/>
      <c r="C80" s="1251"/>
      <c r="D80" s="1251"/>
      <c r="E80" s="1251"/>
      <c r="F80" s="1251"/>
      <c r="G80" s="1251"/>
      <c r="H80" s="1251"/>
      <c r="I80" s="1251"/>
      <c r="J80" s="1251"/>
      <c r="K80" s="1251"/>
    </row>
    <row r="81" spans="1:11" x14ac:dyDescent="0.25">
      <c r="A81" s="53"/>
      <c r="B81" s="4" t="s">
        <v>251</v>
      </c>
      <c r="D81" s="4"/>
      <c r="E81" s="53"/>
      <c r="F81" s="53"/>
      <c r="G81" s="53"/>
      <c r="H81" s="53"/>
      <c r="I81" s="53"/>
      <c r="J81" s="53"/>
      <c r="K81" s="53"/>
    </row>
    <row r="82" spans="1:11" x14ac:dyDescent="0.25">
      <c r="A82" s="53"/>
      <c r="B82" s="59" t="s">
        <v>73</v>
      </c>
      <c r="C82" s="340">
        <v>2</v>
      </c>
      <c r="D82" s="60" t="s">
        <v>124</v>
      </c>
      <c r="E82" s="53"/>
      <c r="F82" s="53"/>
      <c r="G82" s="53"/>
      <c r="H82" s="53"/>
      <c r="I82" s="53"/>
      <c r="J82" s="53"/>
      <c r="K82" s="53"/>
    </row>
    <row r="83" spans="1:11" x14ac:dyDescent="0.25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</row>
    <row r="84" spans="1:11" x14ac:dyDescent="0.25">
      <c r="A84" s="1253" t="str">
        <f>ORÇAMENTO!A155</f>
        <v>8.13</v>
      </c>
      <c r="B84" s="1248" t="str">
        <f>ORÇAMENTO!D155</f>
        <v>DISJUNTOR BIPOLAR TIPO DIN, CORRENTE NOMINAL DE 50A - FORNECIMENTO E INSTALAÇÃO. AF_10/2020</v>
      </c>
      <c r="C84" s="1249"/>
      <c r="D84" s="1249"/>
      <c r="E84" s="1249"/>
      <c r="F84" s="1249"/>
      <c r="G84" s="1249"/>
      <c r="H84" s="1249"/>
      <c r="I84" s="1249"/>
      <c r="J84" s="1249"/>
      <c r="K84" s="1249"/>
    </row>
    <row r="85" spans="1:11" x14ac:dyDescent="0.25">
      <c r="A85" s="1253"/>
      <c r="B85" s="1249"/>
      <c r="C85" s="1249"/>
      <c r="D85" s="1249"/>
      <c r="E85" s="1249"/>
      <c r="F85" s="1249"/>
      <c r="G85" s="1249"/>
      <c r="H85" s="1249"/>
      <c r="I85" s="1249"/>
      <c r="J85" s="1249"/>
      <c r="K85" s="1249"/>
    </row>
    <row r="86" spans="1:11" x14ac:dyDescent="0.25">
      <c r="A86" s="53"/>
      <c r="B86" s="4" t="s">
        <v>251</v>
      </c>
      <c r="D86" s="4"/>
      <c r="E86" s="53"/>
      <c r="F86" s="53"/>
      <c r="G86" s="53"/>
      <c r="H86" s="53"/>
      <c r="I86" s="53"/>
      <c r="J86" s="53"/>
      <c r="K86" s="53"/>
    </row>
    <row r="87" spans="1:11" x14ac:dyDescent="0.25">
      <c r="A87" s="53"/>
      <c r="B87" s="59" t="s">
        <v>73</v>
      </c>
      <c r="C87" s="340">
        <v>1</v>
      </c>
      <c r="D87" s="60" t="s">
        <v>124</v>
      </c>
      <c r="E87" s="53"/>
      <c r="F87" s="53"/>
      <c r="G87" s="53"/>
      <c r="H87" s="53"/>
      <c r="I87" s="53"/>
      <c r="J87" s="53"/>
      <c r="K87" s="53"/>
    </row>
    <row r="88" spans="1:11" x14ac:dyDescent="0.25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</row>
    <row r="89" spans="1:11" x14ac:dyDescent="0.25">
      <c r="A89" s="1253" t="str">
        <f>ORÇAMENTO!A156</f>
        <v>8.14</v>
      </c>
      <c r="B89" s="1248" t="str">
        <f>ORÇAMENTO!D156</f>
        <v>DISJUNTOR TRIPOLAR TIPO NEMA, CORRENTE NOMINAL DE 60 ATÉ 100A - FORNECIMENTO E INSTALAÇÃO. AF_10/2020</v>
      </c>
      <c r="C89" s="1249"/>
      <c r="D89" s="1249"/>
      <c r="E89" s="1249"/>
      <c r="F89" s="1249"/>
      <c r="G89" s="1249"/>
      <c r="H89" s="1249"/>
      <c r="I89" s="1249"/>
      <c r="J89" s="1249"/>
      <c r="K89" s="1249"/>
    </row>
    <row r="90" spans="1:11" x14ac:dyDescent="0.25">
      <c r="A90" s="1253"/>
      <c r="B90" s="1249"/>
      <c r="C90" s="1249"/>
      <c r="D90" s="1249"/>
      <c r="E90" s="1249"/>
      <c r="F90" s="1249"/>
      <c r="G90" s="1249"/>
      <c r="H90" s="1249"/>
      <c r="I90" s="1249"/>
      <c r="J90" s="1249"/>
      <c r="K90" s="1249"/>
    </row>
    <row r="91" spans="1:11" x14ac:dyDescent="0.25">
      <c r="A91" s="53"/>
      <c r="B91" s="4" t="s">
        <v>251</v>
      </c>
      <c r="D91" s="4"/>
      <c r="E91" s="53"/>
      <c r="F91" s="53"/>
      <c r="G91" s="53"/>
      <c r="H91" s="53"/>
      <c r="I91" s="53"/>
      <c r="J91" s="53"/>
      <c r="K91" s="53"/>
    </row>
    <row r="92" spans="1:11" x14ac:dyDescent="0.25">
      <c r="A92" s="53"/>
      <c r="B92" s="59" t="s">
        <v>73</v>
      </c>
      <c r="C92" s="340">
        <v>1</v>
      </c>
      <c r="D92" s="60" t="s">
        <v>124</v>
      </c>
      <c r="E92" s="53"/>
      <c r="F92" s="53"/>
      <c r="G92" s="53"/>
      <c r="H92" s="53"/>
      <c r="I92" s="53"/>
      <c r="J92" s="53"/>
      <c r="K92" s="53"/>
    </row>
    <row r="93" spans="1:11" x14ac:dyDescent="0.25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</row>
    <row r="94" spans="1:11" x14ac:dyDescent="0.25">
      <c r="A94" s="1253" t="str">
        <f>ORÇAMENTO!A157</f>
        <v>8.15</v>
      </c>
      <c r="B94" s="1250" t="str">
        <f>ORÇAMENTO!D157</f>
        <v>Caixa em alvenaria de 60x60x60cm c/ tpo. concreto</v>
      </c>
      <c r="C94" s="1251"/>
      <c r="D94" s="1251"/>
      <c r="E94" s="1251"/>
      <c r="F94" s="1251"/>
      <c r="G94" s="1251"/>
      <c r="H94" s="1251"/>
      <c r="I94" s="1251"/>
      <c r="J94" s="1251"/>
      <c r="K94" s="1251"/>
    </row>
    <row r="95" spans="1:11" x14ac:dyDescent="0.25">
      <c r="A95" s="1253"/>
      <c r="B95" s="1251"/>
      <c r="C95" s="1251"/>
      <c r="D95" s="1251"/>
      <c r="E95" s="1251"/>
      <c r="F95" s="1251"/>
      <c r="G95" s="1251"/>
      <c r="H95" s="1251"/>
      <c r="I95" s="1251"/>
      <c r="J95" s="1251"/>
      <c r="K95" s="1251"/>
    </row>
    <row r="96" spans="1:11" x14ac:dyDescent="0.25">
      <c r="A96" s="53"/>
      <c r="B96" s="4" t="s">
        <v>251</v>
      </c>
      <c r="D96" s="4"/>
      <c r="E96" s="53"/>
      <c r="F96" s="53"/>
      <c r="G96" s="53"/>
      <c r="H96" s="53"/>
      <c r="I96" s="53"/>
      <c r="J96" s="53"/>
      <c r="K96" s="53"/>
    </row>
    <row r="97" spans="1:11" x14ac:dyDescent="0.25">
      <c r="A97" s="53"/>
      <c r="B97" s="59" t="s">
        <v>73</v>
      </c>
      <c r="C97" s="340">
        <v>7</v>
      </c>
      <c r="D97" s="60" t="s">
        <v>124</v>
      </c>
      <c r="E97" s="53"/>
      <c r="F97" s="53"/>
      <c r="G97" s="53"/>
      <c r="H97" s="53"/>
      <c r="I97" s="53"/>
      <c r="J97" s="53"/>
      <c r="K97" s="53"/>
    </row>
    <row r="98" spans="1:11" x14ac:dyDescent="0.25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</row>
    <row r="99" spans="1:11" x14ac:dyDescent="0.25">
      <c r="A99" s="1253" t="str">
        <f>ORÇAMENTO!A158</f>
        <v>8.16</v>
      </c>
      <c r="B99" s="1250" t="str">
        <f>ORÇAMENTO!D158</f>
        <v xml:space="preserve">
Mureta de mediçao em alv.c/laje em conc.(c=2.20/l=0.50/h=2.0m
</v>
      </c>
      <c r="C99" s="1251"/>
      <c r="D99" s="1251"/>
      <c r="E99" s="1251"/>
      <c r="F99" s="1251"/>
      <c r="G99" s="1251"/>
      <c r="H99" s="1251"/>
      <c r="I99" s="1251"/>
      <c r="J99" s="1251"/>
      <c r="K99" s="1251"/>
    </row>
    <row r="100" spans="1:11" x14ac:dyDescent="0.25">
      <c r="A100" s="1253"/>
      <c r="B100" s="1251"/>
      <c r="C100" s="1251"/>
      <c r="D100" s="1251"/>
      <c r="E100" s="1251"/>
      <c r="F100" s="1251"/>
      <c r="G100" s="1251"/>
      <c r="H100" s="1251"/>
      <c r="I100" s="1251"/>
      <c r="J100" s="1251"/>
      <c r="K100" s="1251"/>
    </row>
    <row r="101" spans="1:11" x14ac:dyDescent="0.25">
      <c r="A101" s="53"/>
      <c r="B101" s="4" t="s">
        <v>251</v>
      </c>
      <c r="D101" s="4"/>
      <c r="E101" s="53"/>
      <c r="F101" s="53"/>
      <c r="G101" s="53"/>
      <c r="H101" s="53"/>
      <c r="I101" s="53"/>
      <c r="J101" s="53"/>
      <c r="K101" s="53"/>
    </row>
    <row r="102" spans="1:11" x14ac:dyDescent="0.25">
      <c r="A102" s="53"/>
      <c r="B102" s="59" t="s">
        <v>73</v>
      </c>
      <c r="C102" s="340">
        <v>1</v>
      </c>
      <c r="D102" s="60" t="s">
        <v>124</v>
      </c>
      <c r="E102" s="53"/>
      <c r="F102" s="53"/>
      <c r="G102" s="53"/>
      <c r="H102" s="53"/>
      <c r="I102" s="53"/>
      <c r="J102" s="53"/>
      <c r="K102" s="53"/>
    </row>
    <row r="103" spans="1:11" x14ac:dyDescent="0.25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</row>
    <row r="104" spans="1:11" ht="18.75" customHeight="1" x14ac:dyDescent="0.25">
      <c r="A104" s="1253" t="str">
        <f>ORÇAMENTO!A159</f>
        <v>8.17</v>
      </c>
      <c r="B104" s="1250" t="str">
        <f>ORÇAMENTO!D159</f>
        <v xml:space="preserve">
CAIXA DE INSPEÇÃO PARA ATERRAMENTO, CIRCULAR, EM POLIETILENO, DIÂMETRO INTERNO = 0,3 M. AF_12/2020
</v>
      </c>
      <c r="C104" s="1251"/>
      <c r="D104" s="1251"/>
      <c r="E104" s="1251"/>
      <c r="F104" s="1251"/>
      <c r="G104" s="1251"/>
      <c r="H104" s="1251"/>
      <c r="I104" s="1251"/>
      <c r="J104" s="1251"/>
      <c r="K104" s="1251"/>
    </row>
    <row r="105" spans="1:11" x14ac:dyDescent="0.25">
      <c r="A105" s="1253"/>
      <c r="B105" s="1251"/>
      <c r="C105" s="1251"/>
      <c r="D105" s="1251"/>
      <c r="E105" s="1251"/>
      <c r="F105" s="1251"/>
      <c r="G105" s="1251"/>
      <c r="H105" s="1251"/>
      <c r="I105" s="1251"/>
      <c r="J105" s="1251"/>
      <c r="K105" s="1251"/>
    </row>
    <row r="106" spans="1:11" x14ac:dyDescent="0.25">
      <c r="A106" s="53"/>
      <c r="B106" s="4" t="s">
        <v>251</v>
      </c>
      <c r="D106" s="4"/>
      <c r="E106" s="53"/>
      <c r="F106" s="53"/>
      <c r="G106" s="53"/>
      <c r="H106" s="53"/>
      <c r="I106" s="53"/>
      <c r="J106" s="53"/>
      <c r="K106" s="53"/>
    </row>
    <row r="107" spans="1:11" x14ac:dyDescent="0.25">
      <c r="A107" s="53"/>
      <c r="B107" s="59" t="s">
        <v>73</v>
      </c>
      <c r="C107" s="340">
        <v>3</v>
      </c>
      <c r="D107" s="60" t="s">
        <v>124</v>
      </c>
      <c r="E107" s="53"/>
      <c r="F107" s="53"/>
      <c r="G107" s="53"/>
      <c r="H107" s="53"/>
      <c r="I107" s="53"/>
      <c r="J107" s="53"/>
      <c r="K107" s="53"/>
    </row>
    <row r="108" spans="1:11" x14ac:dyDescent="0.25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</row>
    <row r="109" spans="1:11" x14ac:dyDescent="0.25">
      <c r="A109" s="1253" t="str">
        <f>ORÇAMENTO!A160</f>
        <v>8.18</v>
      </c>
      <c r="B109" s="1250" t="str">
        <f>ORÇAMENTO!D160</f>
        <v>HASTE DE ATERRAMENTO 5/8 PARA SPDA - FORNECIMENTO E INSTALAÇÃO. AF_12 UN CR /2017</v>
      </c>
      <c r="C109" s="1251"/>
      <c r="D109" s="1251"/>
      <c r="E109" s="1251"/>
      <c r="F109" s="1251"/>
      <c r="G109" s="1251"/>
      <c r="H109" s="1251"/>
      <c r="I109" s="1251"/>
      <c r="J109" s="1251"/>
      <c r="K109" s="1251"/>
    </row>
    <row r="110" spans="1:11" x14ac:dyDescent="0.25">
      <c r="A110" s="1253"/>
      <c r="B110" s="1251"/>
      <c r="C110" s="1251"/>
      <c r="D110" s="1251"/>
      <c r="E110" s="1251"/>
      <c r="F110" s="1251"/>
      <c r="G110" s="1251"/>
      <c r="H110" s="1251"/>
      <c r="I110" s="1251"/>
      <c r="J110" s="1251"/>
      <c r="K110" s="1251"/>
    </row>
    <row r="111" spans="1:11" x14ac:dyDescent="0.25">
      <c r="A111" s="53"/>
      <c r="B111" s="4" t="s">
        <v>251</v>
      </c>
      <c r="D111" s="4"/>
      <c r="E111" s="53"/>
      <c r="F111" s="53"/>
      <c r="G111" s="53"/>
      <c r="H111" s="53"/>
      <c r="I111" s="53"/>
      <c r="J111" s="53"/>
      <c r="K111" s="53"/>
    </row>
    <row r="112" spans="1:11" x14ac:dyDescent="0.25">
      <c r="A112" s="53"/>
      <c r="B112" s="59" t="s">
        <v>73</v>
      </c>
      <c r="C112" s="340">
        <v>3</v>
      </c>
      <c r="D112" s="60" t="s">
        <v>124</v>
      </c>
      <c r="E112" s="53"/>
      <c r="F112" s="53"/>
      <c r="G112" s="53"/>
      <c r="H112" s="53"/>
      <c r="I112" s="53"/>
      <c r="J112" s="53"/>
      <c r="K112" s="53"/>
    </row>
    <row r="113" spans="1:11" x14ac:dyDescent="0.25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</row>
    <row r="114" spans="1:11" x14ac:dyDescent="0.25">
      <c r="A114" s="1157" t="str">
        <f>ORÇAMENTO!A161</f>
        <v>8.19</v>
      </c>
      <c r="B114" s="1248" t="str">
        <f>ORÇAMENTO!D161</f>
        <v>CORDOALHA DE COBRE NU 50 MM², NÃO ENTERRADA, COM ISOLADOR - FORNECIMENTO E INSTALAÇÃO. AF_12/2017</v>
      </c>
      <c r="C114" s="1248"/>
      <c r="D114" s="1248"/>
      <c r="E114" s="1248"/>
      <c r="F114" s="1248"/>
      <c r="G114" s="1248"/>
      <c r="H114" s="1248"/>
      <c r="I114" s="1248"/>
      <c r="J114" s="1248"/>
      <c r="K114" s="1248"/>
    </row>
    <row r="115" spans="1:11" x14ac:dyDescent="0.25">
      <c r="A115" s="1157"/>
      <c r="B115" s="1248"/>
      <c r="C115" s="1248"/>
      <c r="D115" s="1248"/>
      <c r="E115" s="1248"/>
      <c r="F115" s="1248"/>
      <c r="G115" s="1248"/>
      <c r="H115" s="1248"/>
      <c r="I115" s="1248"/>
      <c r="J115" s="1248"/>
      <c r="K115" s="1248"/>
    </row>
    <row r="116" spans="1:11" x14ac:dyDescent="0.25">
      <c r="A116" s="53"/>
      <c r="B116" s="4" t="s">
        <v>251</v>
      </c>
      <c r="D116" s="4"/>
      <c r="E116" s="53"/>
      <c r="F116" s="53"/>
      <c r="G116" s="53"/>
      <c r="H116" s="53"/>
      <c r="I116" s="53"/>
      <c r="J116" s="53"/>
      <c r="K116" s="53"/>
    </row>
    <row r="117" spans="1:11" x14ac:dyDescent="0.25">
      <c r="A117" s="53"/>
      <c r="B117" s="59" t="s">
        <v>73</v>
      </c>
      <c r="C117" s="340">
        <v>12</v>
      </c>
      <c r="D117" s="60" t="s">
        <v>52</v>
      </c>
      <c r="E117" s="53"/>
      <c r="F117" s="53"/>
      <c r="G117" s="53"/>
      <c r="H117" s="53"/>
      <c r="I117" s="53"/>
      <c r="J117" s="53"/>
      <c r="K117" s="53"/>
    </row>
    <row r="118" spans="1:11" x14ac:dyDescent="0.25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</row>
    <row r="119" spans="1:11" x14ac:dyDescent="0.25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</row>
    <row r="120" spans="1:11" x14ac:dyDescent="0.25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</row>
    <row r="189" spans="4:4" ht="31.5" customHeight="1" x14ac:dyDescent="0.25">
      <c r="D189" s="798"/>
    </row>
  </sheetData>
  <mergeCells count="64">
    <mergeCell ref="A16:A17"/>
    <mergeCell ref="A99:A100"/>
    <mergeCell ref="B99:K100"/>
    <mergeCell ref="A69:A70"/>
    <mergeCell ref="B69:K70"/>
    <mergeCell ref="A74:A75"/>
    <mergeCell ref="B74:K75"/>
    <mergeCell ref="A79:A80"/>
    <mergeCell ref="B79:K80"/>
    <mergeCell ref="B51:K52"/>
    <mergeCell ref="A59:A60"/>
    <mergeCell ref="B59:K60"/>
    <mergeCell ref="A64:A65"/>
    <mergeCell ref="B64:K65"/>
    <mergeCell ref="A29:A30"/>
    <mergeCell ref="A114:A115"/>
    <mergeCell ref="A34:A35"/>
    <mergeCell ref="B34:K35"/>
    <mergeCell ref="A43:A44"/>
    <mergeCell ref="B43:K44"/>
    <mergeCell ref="A51:A52"/>
    <mergeCell ref="A109:A110"/>
    <mergeCell ref="B109:K110"/>
    <mergeCell ref="A84:A85"/>
    <mergeCell ref="B84:K85"/>
    <mergeCell ref="A89:A90"/>
    <mergeCell ref="B89:K90"/>
    <mergeCell ref="A94:A95"/>
    <mergeCell ref="B94:K95"/>
    <mergeCell ref="A104:A105"/>
    <mergeCell ref="B15:K15"/>
    <mergeCell ref="B114:K115"/>
    <mergeCell ref="B29:K30"/>
    <mergeCell ref="B16:K17"/>
    <mergeCell ref="B21:K21"/>
    <mergeCell ref="B25:K25"/>
    <mergeCell ref="B104:K105"/>
    <mergeCell ref="B46:C46"/>
    <mergeCell ref="B54:C54"/>
    <mergeCell ref="A1:K1"/>
    <mergeCell ref="A4:B4"/>
    <mergeCell ref="C4:G4"/>
    <mergeCell ref="H4:I4"/>
    <mergeCell ref="J4:K4"/>
    <mergeCell ref="A2:M2"/>
    <mergeCell ref="A3:M3"/>
    <mergeCell ref="A5:B5"/>
    <mergeCell ref="C5:K5"/>
    <mergeCell ref="A6:B6"/>
    <mergeCell ref="C6:K6"/>
    <mergeCell ref="A7:B7"/>
    <mergeCell ref="C7:F7"/>
    <mergeCell ref="G7:H8"/>
    <mergeCell ref="I7:K7"/>
    <mergeCell ref="A8:B8"/>
    <mergeCell ref="C8:F8"/>
    <mergeCell ref="I8:K8"/>
    <mergeCell ref="A10:K10"/>
    <mergeCell ref="A11:K11"/>
    <mergeCell ref="A13:K13"/>
    <mergeCell ref="A9:B9"/>
    <mergeCell ref="C9:F9"/>
    <mergeCell ref="G9:H9"/>
    <mergeCell ref="I9:K9"/>
  </mergeCells>
  <pageMargins left="0.70866141732283472" right="0.51181102362204722" top="0.46" bottom="0.39" header="0.31496062992125984" footer="0.12"/>
  <pageSetup paperSize="9" scale="8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O438"/>
  <sheetViews>
    <sheetView view="pageBreakPreview" topLeftCell="A410" zoomScale="70" zoomScaleNormal="100" zoomScaleSheetLayoutView="70" workbookViewId="0">
      <selection activeCell="Q13" sqref="Q13"/>
    </sheetView>
  </sheetViews>
  <sheetFormatPr defaultColWidth="9.140625" defaultRowHeight="12.75" x14ac:dyDescent="0.2"/>
  <cols>
    <col min="1" max="1" width="13.5703125" style="179" customWidth="1"/>
    <col min="2" max="2" width="16.7109375" style="179" customWidth="1"/>
    <col min="3" max="3" width="13" style="179" customWidth="1"/>
    <col min="4" max="4" width="14.140625" style="179" customWidth="1"/>
    <col min="5" max="5" width="9.140625" style="179"/>
    <col min="6" max="6" width="13.7109375" style="179" customWidth="1"/>
    <col min="7" max="7" width="9.140625" style="179" customWidth="1"/>
    <col min="8" max="8" width="13.5703125" style="179" customWidth="1"/>
    <col min="9" max="9" width="12.140625" style="179" customWidth="1"/>
    <col min="10" max="10" width="13.140625" style="179" customWidth="1"/>
    <col min="11" max="11" width="9.140625" style="179"/>
    <col min="12" max="12" width="11.85546875" style="179" customWidth="1"/>
    <col min="13" max="13" width="13.140625" style="179" customWidth="1"/>
    <col min="14" max="14" width="14.5703125" style="179" customWidth="1"/>
    <col min="15" max="16384" width="9.140625" style="179"/>
  </cols>
  <sheetData>
    <row r="1" spans="1:15" customFormat="1" ht="99.75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237"/>
    </row>
    <row r="2" spans="1:15" customFormat="1" ht="21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</row>
    <row r="3" spans="1:15" customFormat="1" ht="1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</row>
    <row r="4" spans="1:15" s="237" customFormat="1" ht="33.75" customHeight="1" x14ac:dyDescent="0.25">
      <c r="A4" s="969" t="s">
        <v>33</v>
      </c>
      <c r="B4" s="970"/>
      <c r="C4" s="973" t="str">
        <f>COMPOSIÇÕES!B4</f>
        <v>PREFEITURA MUNICIPAL DE BRASIL NOVO/PA</v>
      </c>
      <c r="D4" s="973"/>
      <c r="E4" s="973"/>
      <c r="F4" s="973"/>
      <c r="G4" s="973"/>
      <c r="H4" s="973"/>
      <c r="I4" s="973"/>
      <c r="J4" s="973"/>
      <c r="K4" s="1208" t="s">
        <v>859</v>
      </c>
      <c r="L4" s="1208"/>
      <c r="M4" s="1207" t="str">
        <f>ORÇAMENTO!J4</f>
        <v>BRASIL NOVO/PA</v>
      </c>
      <c r="N4" s="1207"/>
    </row>
    <row r="5" spans="1:15" s="237" customFormat="1" ht="21" customHeight="1" x14ac:dyDescent="0.25">
      <c r="A5" s="969" t="s">
        <v>860</v>
      </c>
      <c r="B5" s="970"/>
      <c r="C5" s="965" t="str">
        <f>COMPOSIÇÕES!B5</f>
        <v>CONSTRUÇÃO DE PRAÇA NO MUNICÍPIO DE BRASIL NOVO - PARÁ</v>
      </c>
      <c r="D5" s="965"/>
      <c r="E5" s="965"/>
      <c r="F5" s="965"/>
      <c r="G5" s="965"/>
      <c r="H5" s="965"/>
      <c r="I5" s="965"/>
      <c r="J5" s="965"/>
      <c r="K5" s="965"/>
      <c r="L5" s="965"/>
      <c r="M5" s="965"/>
      <c r="N5" s="965"/>
    </row>
    <row r="6" spans="1:15" s="237" customFormat="1" ht="27" customHeight="1" x14ac:dyDescent="0.25">
      <c r="A6" s="969" t="s">
        <v>861</v>
      </c>
      <c r="B6" s="970"/>
      <c r="C6" s="973" t="str">
        <f>ORÇAMENTO!B6</f>
        <v>AVENIDA TRANSAMAZÔNICA S/N, BRASIL NOVO/PA</v>
      </c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</row>
    <row r="7" spans="1:15" s="237" customFormat="1" ht="26.25" customHeight="1" x14ac:dyDescent="0.25">
      <c r="A7" s="980" t="s">
        <v>80</v>
      </c>
      <c r="B7" s="981"/>
      <c r="C7" s="1183">
        <f>ORÇAMENTO!B7</f>
        <v>0.29769428939090381</v>
      </c>
      <c r="D7" s="1183"/>
      <c r="E7" s="1183"/>
      <c r="F7" s="1183"/>
      <c r="G7" s="1183"/>
      <c r="H7" s="1206" t="s">
        <v>34</v>
      </c>
      <c r="I7" s="1151"/>
      <c r="J7" s="1147" t="str">
        <f>ORÇAMENTO!H7</f>
        <v>SINAPI FEVEREIRO 2022 - DESONERADA</v>
      </c>
      <c r="K7" s="1148"/>
      <c r="L7" s="1148"/>
      <c r="M7" s="1148"/>
      <c r="N7" s="1148"/>
    </row>
    <row r="8" spans="1:15" s="237" customFormat="1" ht="18.75" customHeight="1" x14ac:dyDescent="0.25">
      <c r="A8" s="969" t="s">
        <v>863</v>
      </c>
      <c r="B8" s="970"/>
      <c r="C8" s="965" t="str">
        <f>ORÇAMENTO!B8</f>
        <v>06 meses</v>
      </c>
      <c r="D8" s="965"/>
      <c r="E8" s="965"/>
      <c r="F8" s="965"/>
      <c r="G8" s="965"/>
      <c r="H8" s="1206"/>
      <c r="I8" s="1151"/>
      <c r="J8" s="1147" t="str">
        <f>ORÇAMENTO!H8</f>
        <v>SEDOP FEVEREIRO 2022 - DESONERADA</v>
      </c>
      <c r="K8" s="1148"/>
      <c r="L8" s="1148"/>
      <c r="M8" s="1148"/>
      <c r="N8" s="1148"/>
    </row>
    <row r="9" spans="1:15" s="237" customFormat="1" ht="24" customHeight="1" x14ac:dyDescent="0.25">
      <c r="A9" s="969" t="s">
        <v>865</v>
      </c>
      <c r="B9" s="970"/>
      <c r="C9" s="1124">
        <f>ORÇAMENTO!B9</f>
        <v>1202969.1098858207</v>
      </c>
      <c r="D9" s="1146"/>
      <c r="E9" s="1146"/>
      <c r="F9" s="1146"/>
      <c r="G9" s="1125"/>
      <c r="H9" s="1203" t="s">
        <v>864</v>
      </c>
      <c r="I9" s="1203"/>
      <c r="J9" s="963">
        <f>ORÇAMENTO!H9</f>
        <v>44749</v>
      </c>
      <c r="K9" s="963"/>
      <c r="L9" s="963"/>
      <c r="M9" s="963"/>
      <c r="N9" s="963"/>
    </row>
    <row r="10" spans="1:15" s="237" customFormat="1" ht="15" customHeight="1" thickBot="1" x14ac:dyDescent="0.3">
      <c r="A10" s="1138"/>
      <c r="B10" s="1139"/>
      <c r="C10" s="1139"/>
      <c r="D10" s="1139"/>
      <c r="E10" s="1139"/>
      <c r="F10" s="1139"/>
      <c r="G10" s="1139"/>
      <c r="H10" s="1191"/>
      <c r="I10" s="1191"/>
      <c r="J10" s="1191"/>
      <c r="K10" s="1191"/>
      <c r="L10" s="1191"/>
      <c r="M10" s="1191"/>
      <c r="N10" s="483"/>
    </row>
    <row r="11" spans="1:15" s="237" customFormat="1" ht="15" customHeight="1" thickBot="1" x14ac:dyDescent="0.3">
      <c r="A11" s="1140" t="s">
        <v>875</v>
      </c>
      <c r="B11" s="1141"/>
      <c r="C11" s="1141"/>
      <c r="D11" s="1141"/>
      <c r="E11" s="1141"/>
      <c r="F11" s="1141"/>
      <c r="G11" s="1141"/>
      <c r="H11" s="1141"/>
      <c r="I11" s="1141"/>
      <c r="J11" s="1141"/>
      <c r="K11" s="1141"/>
      <c r="L11" s="1141"/>
      <c r="M11" s="1141"/>
      <c r="N11" s="1142"/>
    </row>
    <row r="12" spans="1:15" s="237" customFormat="1" ht="15" customHeight="1" thickBot="1" x14ac:dyDescent="0.3">
      <c r="A12" s="485"/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</row>
    <row r="13" spans="1:15" s="237" customFormat="1" ht="15" customHeight="1" thickBot="1" x14ac:dyDescent="0.3">
      <c r="A13" s="1254" t="str">
        <f>ORÇAMENTO!D162</f>
        <v>PÓRTICO ARQUEADO EM TUBO DE AÇO</v>
      </c>
      <c r="B13" s="1136"/>
      <c r="C13" s="1136"/>
      <c r="D13" s="1136"/>
      <c r="E13" s="1136"/>
      <c r="F13" s="1136"/>
      <c r="G13" s="1136"/>
      <c r="H13" s="1136"/>
      <c r="I13" s="1136"/>
      <c r="J13" s="1136"/>
      <c r="K13" s="1136"/>
      <c r="L13" s="1136"/>
      <c r="M13" s="1136"/>
      <c r="N13" s="1137"/>
    </row>
    <row r="14" spans="1:15" x14ac:dyDescent="0.2">
      <c r="A14" s="180"/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</row>
    <row r="15" spans="1:15" ht="16.5" customHeight="1" x14ac:dyDescent="0.2">
      <c r="A15" s="181">
        <f>ORÇAMENTO!A162</f>
        <v>9</v>
      </c>
      <c r="B15" s="1256" t="str">
        <f>ORÇAMENTO!D162</f>
        <v>PÓRTICO ARQUEADO EM TUBO DE AÇO</v>
      </c>
      <c r="C15" s="1256"/>
      <c r="D15" s="1256"/>
      <c r="E15" s="1256"/>
      <c r="F15" s="1256"/>
      <c r="G15" s="1256"/>
      <c r="H15" s="1256"/>
      <c r="I15" s="1256"/>
      <c r="J15" s="1256"/>
      <c r="K15" s="1256"/>
      <c r="L15" s="1256"/>
      <c r="M15" s="182"/>
      <c r="N15" s="180"/>
    </row>
    <row r="16" spans="1:15" ht="16.5" customHeight="1" x14ac:dyDescent="0.2">
      <c r="A16" s="181"/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182"/>
      <c r="N16" s="180"/>
    </row>
    <row r="17" spans="1:14" ht="16.5" customHeight="1" x14ac:dyDescent="0.2">
      <c r="A17" s="181" t="str">
        <f>ORÇAMENTO!A163</f>
        <v>9.1</v>
      </c>
      <c r="B17" s="1256" t="str">
        <f>ORÇAMENTO!D163</f>
        <v>MOVIMENTO DE TERRA</v>
      </c>
      <c r="C17" s="1256"/>
      <c r="D17" s="1256"/>
      <c r="E17" s="1256"/>
      <c r="F17" s="1256"/>
      <c r="G17" s="1256"/>
      <c r="H17" s="1256"/>
      <c r="I17" s="1256"/>
      <c r="J17" s="1256"/>
      <c r="K17" s="1256"/>
      <c r="L17" s="1256"/>
      <c r="M17" s="182"/>
      <c r="N17" s="180"/>
    </row>
    <row r="18" spans="1:14" ht="16.5" customHeight="1" x14ac:dyDescent="0.2">
      <c r="A18" s="181"/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182"/>
      <c r="N18" s="180"/>
    </row>
    <row r="19" spans="1:14" ht="16.5" customHeight="1" x14ac:dyDescent="0.2">
      <c r="A19" s="181" t="str">
        <f>ORÇAMENTO!A164</f>
        <v>9.1.1</v>
      </c>
      <c r="B19" s="1256" t="str">
        <f>ORÇAMENTO!D164</f>
        <v>ESCAVAÇÃO MANUAL PARA BLOCO DE COROAMENTO OU SAPATA, SEM PREVISÃO DE FÔRMA. AF_06/2017</v>
      </c>
      <c r="C19" s="1256"/>
      <c r="D19" s="1256"/>
      <c r="E19" s="1256"/>
      <c r="F19" s="1256"/>
      <c r="G19" s="1256"/>
      <c r="H19" s="1256"/>
      <c r="I19" s="1256"/>
      <c r="J19" s="1256"/>
      <c r="K19" s="1256"/>
      <c r="L19" s="1256"/>
      <c r="M19" s="182"/>
      <c r="N19" s="180"/>
    </row>
    <row r="20" spans="1:14" x14ac:dyDescent="0.2">
      <c r="A20" s="180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</row>
    <row r="21" spans="1:14" ht="14.25" x14ac:dyDescent="0.2">
      <c r="A21" s="180"/>
      <c r="B21" s="1241" t="s">
        <v>389</v>
      </c>
      <c r="C21" s="1241"/>
      <c r="D21" s="1241"/>
      <c r="E21" s="1241"/>
      <c r="F21" s="1241"/>
      <c r="G21" s="1241"/>
      <c r="H21" s="1241"/>
      <c r="I21" s="1241"/>
      <c r="J21" s="1241"/>
      <c r="K21" s="180"/>
      <c r="L21" s="180"/>
      <c r="M21" s="180"/>
      <c r="N21" s="180"/>
    </row>
    <row r="22" spans="1:14" ht="14.25" x14ac:dyDescent="0.2">
      <c r="A22" s="180"/>
      <c r="B22" s="183" t="s">
        <v>106</v>
      </c>
      <c r="C22" s="183"/>
      <c r="D22" s="183" t="s">
        <v>152</v>
      </c>
      <c r="E22" s="183"/>
      <c r="F22" s="183" t="s">
        <v>390</v>
      </c>
      <c r="G22" s="184"/>
      <c r="H22" s="184" t="s">
        <v>153</v>
      </c>
      <c r="I22" s="183"/>
      <c r="J22" s="183" t="s">
        <v>154</v>
      </c>
      <c r="K22" s="180"/>
      <c r="L22" s="180"/>
      <c r="M22" s="180"/>
      <c r="N22" s="180"/>
    </row>
    <row r="23" spans="1:14" ht="14.25" x14ac:dyDescent="0.2">
      <c r="A23" s="180"/>
      <c r="B23" s="183">
        <v>1</v>
      </c>
      <c r="C23" s="183" t="s">
        <v>22</v>
      </c>
      <c r="D23" s="183">
        <v>0.85</v>
      </c>
      <c r="E23" s="183" t="s">
        <v>22</v>
      </c>
      <c r="F23" s="183">
        <v>1.63</v>
      </c>
      <c r="G23" s="184" t="s">
        <v>22</v>
      </c>
      <c r="H23" s="184">
        <v>10</v>
      </c>
      <c r="I23" s="183" t="s">
        <v>23</v>
      </c>
      <c r="J23" s="183">
        <f>ROUND((B23*D23*F23*H23),2)</f>
        <v>13.86</v>
      </c>
      <c r="K23" s="180"/>
      <c r="L23" s="180"/>
      <c r="M23" s="180"/>
      <c r="N23" s="180"/>
    </row>
    <row r="24" spans="1:14" x14ac:dyDescent="0.2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</row>
    <row r="25" spans="1:14" x14ac:dyDescent="0.2">
      <c r="A25" s="180"/>
      <c r="B25" s="192" t="s">
        <v>757</v>
      </c>
      <c r="C25" s="180"/>
      <c r="D25" s="180" t="s">
        <v>759</v>
      </c>
      <c r="E25" s="180"/>
      <c r="F25" s="180"/>
      <c r="G25" s="180"/>
      <c r="H25" s="180"/>
      <c r="I25" s="180"/>
      <c r="J25" s="180"/>
      <c r="K25" s="180"/>
      <c r="L25" s="180"/>
      <c r="M25" s="180"/>
      <c r="N25" s="180"/>
    </row>
    <row r="26" spans="1:14" x14ac:dyDescent="0.2">
      <c r="A26" s="180"/>
      <c r="B26" s="192" t="s">
        <v>758</v>
      </c>
      <c r="C26" s="180"/>
      <c r="D26" s="180" t="s">
        <v>760</v>
      </c>
      <c r="E26" s="180"/>
      <c r="F26" s="180"/>
      <c r="G26" s="180"/>
      <c r="H26" s="180"/>
      <c r="I26" s="180"/>
      <c r="J26" s="180"/>
      <c r="K26" s="180"/>
      <c r="L26" s="180"/>
      <c r="M26" s="180"/>
      <c r="N26" s="180"/>
    </row>
    <row r="27" spans="1:14" ht="14.25" x14ac:dyDescent="0.2">
      <c r="A27" s="180"/>
      <c r="B27" s="183">
        <f>J23</f>
        <v>13.86</v>
      </c>
      <c r="C27" s="183" t="s">
        <v>22</v>
      </c>
      <c r="D27" s="183">
        <v>1</v>
      </c>
      <c r="E27" s="184" t="s">
        <v>23</v>
      </c>
      <c r="F27" s="184">
        <f>ROUND(B27*D27,2)</f>
        <v>13.86</v>
      </c>
      <c r="G27" s="180"/>
      <c r="H27" s="180"/>
      <c r="I27" s="180"/>
      <c r="J27" s="180"/>
      <c r="K27" s="180"/>
      <c r="L27" s="180"/>
      <c r="M27" s="180"/>
      <c r="N27" s="180"/>
    </row>
    <row r="28" spans="1:14" x14ac:dyDescent="0.2">
      <c r="A28" s="180"/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</row>
    <row r="29" spans="1:14" x14ac:dyDescent="0.2">
      <c r="A29" s="180"/>
      <c r="B29" s="185" t="s">
        <v>54</v>
      </c>
      <c r="C29" s="186">
        <f>F27</f>
        <v>13.86</v>
      </c>
      <c r="D29" s="187" t="s">
        <v>5</v>
      </c>
      <c r="E29" s="180"/>
      <c r="F29" s="180"/>
      <c r="G29" s="180"/>
      <c r="H29" s="180"/>
      <c r="I29" s="180"/>
      <c r="J29" s="180"/>
      <c r="K29" s="180"/>
      <c r="L29" s="180"/>
      <c r="M29" s="180"/>
      <c r="N29" s="180"/>
    </row>
    <row r="30" spans="1:14" x14ac:dyDescent="0.2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</row>
    <row r="31" spans="1:14" ht="26.25" customHeight="1" x14ac:dyDescent="0.2">
      <c r="A31" s="181" t="str">
        <f>ORÇAMENTO!A165</f>
        <v>9.1.2</v>
      </c>
      <c r="B31" s="1256" t="str">
        <f>ORÇAMENTO!D165</f>
        <v>LASTRO DE CONCRETO MAGRO, APLICADO EM BLOCOS DE COROAMENTO OU SAPATAS, ESPESSURA DE 3 CM. AF_08/2017</v>
      </c>
      <c r="C31" s="1256"/>
      <c r="D31" s="1256"/>
      <c r="E31" s="1256"/>
      <c r="F31" s="1256"/>
      <c r="G31" s="1256"/>
      <c r="H31" s="1256"/>
      <c r="I31" s="1256"/>
      <c r="J31" s="1256"/>
      <c r="K31" s="1256"/>
      <c r="L31" s="1256"/>
      <c r="M31" s="182"/>
      <c r="N31" s="180"/>
    </row>
    <row r="32" spans="1:14" x14ac:dyDescent="0.2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</row>
    <row r="33" spans="1:14" ht="14.25" x14ac:dyDescent="0.2">
      <c r="A33" s="180"/>
      <c r="B33" s="183" t="s">
        <v>391</v>
      </c>
      <c r="C33" s="183"/>
      <c r="D33" s="183" t="s">
        <v>392</v>
      </c>
      <c r="E33" s="183"/>
      <c r="F33" s="183" t="s">
        <v>153</v>
      </c>
      <c r="G33" s="183"/>
      <c r="H33" s="183" t="s">
        <v>154</v>
      </c>
      <c r="I33" s="180"/>
      <c r="J33" s="180"/>
      <c r="K33" s="180"/>
      <c r="L33" s="180"/>
      <c r="M33" s="180"/>
      <c r="N33" s="180"/>
    </row>
    <row r="34" spans="1:14" ht="14.25" x14ac:dyDescent="0.2">
      <c r="A34" s="180"/>
      <c r="B34" s="183">
        <f>B23</f>
        <v>1</v>
      </c>
      <c r="C34" s="183" t="str">
        <f t="shared" ref="C34:D34" si="0">C23</f>
        <v>x</v>
      </c>
      <c r="D34" s="183">
        <f t="shared" si="0"/>
        <v>0.85</v>
      </c>
      <c r="E34" s="183" t="s">
        <v>22</v>
      </c>
      <c r="F34" s="183">
        <v>10</v>
      </c>
      <c r="G34" s="183" t="s">
        <v>23</v>
      </c>
      <c r="H34" s="183">
        <f>ROUND((B34*D34*F34),2)</f>
        <v>8.5</v>
      </c>
      <c r="I34" s="180"/>
      <c r="J34" s="180"/>
      <c r="K34" s="180"/>
      <c r="L34" s="180"/>
      <c r="M34" s="180"/>
      <c r="N34" s="180"/>
    </row>
    <row r="35" spans="1:14" x14ac:dyDescent="0.2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</row>
    <row r="36" spans="1:14" x14ac:dyDescent="0.2">
      <c r="A36" s="180"/>
      <c r="B36" s="192" t="s">
        <v>757</v>
      </c>
      <c r="C36" s="180"/>
      <c r="D36" s="180" t="s">
        <v>759</v>
      </c>
      <c r="E36" s="180"/>
      <c r="F36" s="180"/>
      <c r="G36" s="180"/>
      <c r="H36" s="180"/>
      <c r="I36" s="180"/>
      <c r="J36" s="180"/>
      <c r="K36" s="180"/>
      <c r="L36" s="180"/>
      <c r="M36" s="180"/>
      <c r="N36" s="180"/>
    </row>
    <row r="37" spans="1:14" x14ac:dyDescent="0.2">
      <c r="A37" s="180"/>
      <c r="B37" s="192" t="s">
        <v>758</v>
      </c>
      <c r="C37" s="180"/>
      <c r="D37" s="180" t="s">
        <v>760</v>
      </c>
      <c r="E37" s="180"/>
      <c r="F37" s="180"/>
      <c r="G37" s="180"/>
      <c r="H37" s="180"/>
      <c r="I37" s="180"/>
      <c r="J37" s="180"/>
      <c r="K37" s="180"/>
      <c r="L37" s="180"/>
      <c r="M37" s="180"/>
      <c r="N37" s="180"/>
    </row>
    <row r="38" spans="1:14" ht="14.25" x14ac:dyDescent="0.2">
      <c r="A38" s="180"/>
      <c r="B38" s="183">
        <f>H34</f>
        <v>8.5</v>
      </c>
      <c r="C38" s="183" t="s">
        <v>22</v>
      </c>
      <c r="D38" s="183">
        <f>D27</f>
        <v>1</v>
      </c>
      <c r="E38" s="184" t="s">
        <v>23</v>
      </c>
      <c r="F38" s="184">
        <f>ROUND(B38*D38,2)</f>
        <v>8.5</v>
      </c>
      <c r="G38" s="180"/>
      <c r="H38" s="180"/>
      <c r="I38" s="180"/>
      <c r="J38" s="180"/>
      <c r="K38" s="180"/>
      <c r="L38" s="180"/>
      <c r="M38" s="180"/>
      <c r="N38" s="180"/>
    </row>
    <row r="39" spans="1:14" x14ac:dyDescent="0.2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</row>
    <row r="40" spans="1:14" x14ac:dyDescent="0.2">
      <c r="A40" s="180"/>
      <c r="B40" s="185" t="s">
        <v>54</v>
      </c>
      <c r="C40" s="186">
        <f>F38</f>
        <v>8.5</v>
      </c>
      <c r="D40" s="187" t="s">
        <v>4</v>
      </c>
      <c r="E40" s="180"/>
      <c r="F40" s="180"/>
      <c r="G40" s="180"/>
      <c r="H40" s="180"/>
      <c r="I40" s="180"/>
      <c r="J40" s="180"/>
      <c r="K40" s="180"/>
      <c r="L40" s="180"/>
      <c r="M40" s="180"/>
      <c r="N40" s="180"/>
    </row>
    <row r="41" spans="1:14" x14ac:dyDescent="0.2">
      <c r="A41" s="180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</row>
    <row r="42" spans="1:14" ht="15" x14ac:dyDescent="0.2">
      <c r="A42" s="181" t="str">
        <f>ORÇAMENTO!A166</f>
        <v>9.1.3</v>
      </c>
      <c r="B42" s="899" t="str">
        <f>ORÇAMENTO!D166</f>
        <v>FABRICAÇÃO, MONTAGEM E DESMONTAGEM DE FÔRMA PARA BLOCO DE COROAMENTO, EM MADEIRA SERRADA, E=25 MM, 4 UTILIZAÇÕES. AF_06/2017</v>
      </c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2"/>
      <c r="N42" s="180"/>
    </row>
    <row r="43" spans="1:14" x14ac:dyDescent="0.2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</row>
    <row r="44" spans="1:14" x14ac:dyDescent="0.2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</row>
    <row r="45" spans="1:14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</row>
    <row r="46" spans="1:14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</row>
    <row r="47" spans="1:14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</row>
    <row r="48" spans="1:14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</row>
    <row r="49" spans="1:14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</row>
    <row r="50" spans="1:14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</row>
    <row r="51" spans="1:14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</row>
    <row r="52" spans="1:14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</row>
    <row r="53" spans="1:14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</row>
    <row r="54" spans="1:14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</row>
    <row r="55" spans="1:14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</row>
    <row r="56" spans="1:14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</row>
    <row r="57" spans="1:14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</row>
    <row r="58" spans="1:14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</row>
    <row r="59" spans="1:14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</row>
    <row r="60" spans="1:14" ht="16.5" x14ac:dyDescent="0.35">
      <c r="A60" s="180"/>
      <c r="B60" s="1259" t="s">
        <v>393</v>
      </c>
      <c r="C60" s="1259"/>
      <c r="D60" s="1259"/>
      <c r="E60" s="180"/>
      <c r="F60" s="180"/>
      <c r="G60" s="180"/>
      <c r="H60" s="180"/>
      <c r="I60" s="180"/>
      <c r="J60" s="180"/>
      <c r="K60" s="180"/>
      <c r="L60" s="180"/>
      <c r="M60" s="180"/>
      <c r="N60" s="180"/>
    </row>
    <row r="61" spans="1:14" ht="14.25" x14ac:dyDescent="0.2">
      <c r="A61" s="180"/>
      <c r="B61" s="189"/>
      <c r="C61" s="190" t="s">
        <v>74</v>
      </c>
      <c r="D61" s="180"/>
      <c r="E61" s="190" t="s">
        <v>75</v>
      </c>
      <c r="F61" s="180"/>
      <c r="G61" s="190" t="s">
        <v>394</v>
      </c>
      <c r="H61" s="180"/>
      <c r="I61" s="180"/>
      <c r="J61" s="180"/>
      <c r="K61" s="180"/>
      <c r="L61" s="180"/>
      <c r="M61" s="180"/>
      <c r="N61" s="180"/>
    </row>
    <row r="62" spans="1:14" ht="14.25" x14ac:dyDescent="0.2">
      <c r="A62" s="180"/>
      <c r="B62" s="190" t="s">
        <v>54</v>
      </c>
      <c r="C62" s="191">
        <v>0.75</v>
      </c>
      <c r="D62" s="190" t="s">
        <v>22</v>
      </c>
      <c r="E62" s="191">
        <v>2.0499999999999998</v>
      </c>
      <c r="F62" s="192" t="s">
        <v>22</v>
      </c>
      <c r="G62" s="193">
        <v>1</v>
      </c>
      <c r="H62" s="190" t="s">
        <v>23</v>
      </c>
      <c r="I62" s="191">
        <f>ROUND((C62*E62*G62),2)</f>
        <v>1.54</v>
      </c>
      <c r="J62" s="180"/>
      <c r="K62" s="180"/>
      <c r="L62" s="180"/>
      <c r="M62" s="180"/>
      <c r="N62" s="180"/>
    </row>
    <row r="63" spans="1:14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</row>
    <row r="64" spans="1:14" ht="16.5" x14ac:dyDescent="0.35">
      <c r="A64" s="180"/>
      <c r="B64" s="1259" t="s">
        <v>395</v>
      </c>
      <c r="C64" s="1259"/>
      <c r="D64" s="1259"/>
      <c r="E64" s="180"/>
      <c r="F64" s="180"/>
      <c r="G64" s="180"/>
      <c r="H64" s="180"/>
      <c r="I64" s="180"/>
      <c r="J64" s="180"/>
      <c r="K64" s="180"/>
      <c r="L64" s="180"/>
      <c r="M64" s="180"/>
      <c r="N64" s="180"/>
    </row>
    <row r="65" spans="1:14" ht="14.25" x14ac:dyDescent="0.2">
      <c r="A65" s="180"/>
      <c r="B65" s="190" t="s">
        <v>396</v>
      </c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</row>
    <row r="66" spans="1:14" ht="14.25" x14ac:dyDescent="0.2">
      <c r="A66" s="180"/>
      <c r="B66" s="189"/>
      <c r="C66" s="190" t="s">
        <v>74</v>
      </c>
      <c r="D66" s="180"/>
      <c r="E66" s="190" t="s">
        <v>75</v>
      </c>
      <c r="F66" s="180"/>
      <c r="G66" s="190" t="s">
        <v>394</v>
      </c>
      <c r="H66" s="180"/>
      <c r="I66" s="180"/>
      <c r="J66" s="180"/>
      <c r="K66" s="180"/>
      <c r="L66" s="180"/>
      <c r="M66" s="180"/>
      <c r="N66" s="180"/>
    </row>
    <row r="67" spans="1:14" ht="14.25" x14ac:dyDescent="0.2">
      <c r="A67" s="180"/>
      <c r="B67" s="190" t="s">
        <v>54</v>
      </c>
      <c r="C67" s="193">
        <v>0.9</v>
      </c>
      <c r="D67" s="190" t="s">
        <v>22</v>
      </c>
      <c r="E67" s="193">
        <v>0.8</v>
      </c>
      <c r="F67" s="192" t="s">
        <v>22</v>
      </c>
      <c r="G67" s="193">
        <v>2</v>
      </c>
      <c r="H67" s="190" t="s">
        <v>23</v>
      </c>
      <c r="I67" s="191">
        <f>ROUND((C67*E67*G67),2)</f>
        <v>1.44</v>
      </c>
      <c r="J67" s="180"/>
      <c r="K67" s="180"/>
      <c r="L67" s="180"/>
      <c r="M67" s="180"/>
      <c r="N67" s="180"/>
    </row>
    <row r="68" spans="1:14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</row>
    <row r="69" spans="1:14" ht="14.25" x14ac:dyDescent="0.2">
      <c r="A69" s="180"/>
      <c r="B69" s="190" t="s">
        <v>274</v>
      </c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</row>
    <row r="70" spans="1:14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</row>
    <row r="71" spans="1:14" x14ac:dyDescent="0.2">
      <c r="A71" s="180"/>
      <c r="B71" s="180" t="s">
        <v>397</v>
      </c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</row>
    <row r="72" spans="1:14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</row>
    <row r="73" spans="1:14" ht="14.25" x14ac:dyDescent="0.2">
      <c r="A73" s="180"/>
      <c r="B73" s="180"/>
      <c r="C73" s="1257" t="s">
        <v>398</v>
      </c>
      <c r="D73" s="1257"/>
      <c r="E73" s="1257"/>
      <c r="F73" s="1257"/>
      <c r="G73" s="1257"/>
      <c r="H73" s="1257"/>
      <c r="I73" s="1257"/>
      <c r="J73" s="180"/>
      <c r="K73" s="180"/>
      <c r="L73" s="180"/>
      <c r="M73" s="180"/>
      <c r="N73" s="180"/>
    </row>
    <row r="74" spans="1:14" ht="14.25" x14ac:dyDescent="0.2">
      <c r="A74" s="180"/>
      <c r="B74" s="190" t="s">
        <v>54</v>
      </c>
      <c r="C74" s="194" t="s">
        <v>399</v>
      </c>
      <c r="D74" s="195">
        <v>0.9</v>
      </c>
      <c r="E74" s="196" t="s">
        <v>145</v>
      </c>
      <c r="F74" s="197">
        <v>0.5</v>
      </c>
      <c r="G74" s="196" t="s">
        <v>400</v>
      </c>
      <c r="H74" s="196" t="s">
        <v>22</v>
      </c>
      <c r="I74" s="197">
        <v>1.4</v>
      </c>
      <c r="J74" s="190" t="s">
        <v>23</v>
      </c>
      <c r="K74" s="191">
        <f>ROUND((((D74+F74)*I74)/C75),2)</f>
        <v>0.98</v>
      </c>
      <c r="L74" s="180"/>
      <c r="M74" s="198"/>
      <c r="N74" s="180"/>
    </row>
    <row r="75" spans="1:14" ht="14.25" x14ac:dyDescent="0.2">
      <c r="A75" s="180"/>
      <c r="B75" s="189"/>
      <c r="C75" s="1258">
        <v>2</v>
      </c>
      <c r="D75" s="1258"/>
      <c r="E75" s="1258"/>
      <c r="F75" s="1258"/>
      <c r="G75" s="1258"/>
      <c r="H75" s="1258"/>
      <c r="I75" s="1258"/>
      <c r="J75" s="189"/>
      <c r="K75" s="189"/>
      <c r="L75" s="180"/>
      <c r="M75" s="180"/>
      <c r="N75" s="180"/>
    </row>
    <row r="76" spans="1:14" ht="14.25" x14ac:dyDescent="0.2">
      <c r="A76" s="180"/>
      <c r="B76" s="189"/>
      <c r="C76" s="189" t="s">
        <v>398</v>
      </c>
      <c r="D76" s="189"/>
      <c r="E76" s="189" t="s">
        <v>394</v>
      </c>
      <c r="F76" s="189"/>
      <c r="G76" s="189"/>
      <c r="H76" s="189"/>
      <c r="I76" s="189"/>
      <c r="J76" s="189"/>
      <c r="K76" s="189"/>
      <c r="L76" s="180"/>
      <c r="M76" s="180"/>
      <c r="N76" s="180"/>
    </row>
    <row r="77" spans="1:14" ht="14.25" x14ac:dyDescent="0.2">
      <c r="A77" s="180"/>
      <c r="B77" s="190" t="s">
        <v>54</v>
      </c>
      <c r="C77" s="191">
        <f>K74</f>
        <v>0.98</v>
      </c>
      <c r="D77" s="190" t="s">
        <v>22</v>
      </c>
      <c r="E77" s="193">
        <f>G67</f>
        <v>2</v>
      </c>
      <c r="F77" s="190" t="s">
        <v>23</v>
      </c>
      <c r="G77" s="193">
        <f>ROUND((C77*E77),2)</f>
        <v>1.96</v>
      </c>
      <c r="H77" s="189"/>
      <c r="I77" s="189"/>
      <c r="J77" s="189"/>
      <c r="K77" s="189"/>
      <c r="L77" s="180"/>
      <c r="M77" s="180"/>
      <c r="N77" s="180"/>
    </row>
    <row r="78" spans="1:14" ht="14.25" x14ac:dyDescent="0.2">
      <c r="A78" s="18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0"/>
      <c r="M78" s="180"/>
      <c r="N78" s="180"/>
    </row>
    <row r="79" spans="1:14" ht="16.5" x14ac:dyDescent="0.35">
      <c r="A79" s="180"/>
      <c r="B79" s="1259" t="s">
        <v>401</v>
      </c>
      <c r="C79" s="1259"/>
      <c r="D79" s="1259"/>
      <c r="E79" s="189"/>
      <c r="F79" s="189"/>
      <c r="G79" s="189"/>
      <c r="H79" s="189"/>
      <c r="I79" s="189"/>
      <c r="J79" s="189"/>
      <c r="K79" s="189"/>
      <c r="L79" s="180"/>
      <c r="M79" s="180"/>
      <c r="N79" s="180"/>
    </row>
    <row r="80" spans="1:14" ht="14.25" x14ac:dyDescent="0.2">
      <c r="A80" s="180"/>
      <c r="B80" s="190" t="s">
        <v>402</v>
      </c>
      <c r="C80" s="189"/>
      <c r="D80" s="189"/>
      <c r="E80" s="189"/>
      <c r="F80" s="189"/>
      <c r="G80" s="189"/>
      <c r="H80" s="189"/>
      <c r="I80" s="189"/>
      <c r="J80" s="189"/>
      <c r="K80" s="189"/>
      <c r="L80" s="180"/>
      <c r="M80" s="180"/>
      <c r="N80" s="180"/>
    </row>
    <row r="81" spans="1:14" ht="14.25" x14ac:dyDescent="0.2">
      <c r="A81" s="180"/>
      <c r="B81" s="189"/>
      <c r="C81" s="190" t="s">
        <v>74</v>
      </c>
      <c r="D81" s="189"/>
      <c r="E81" s="190" t="s">
        <v>75</v>
      </c>
      <c r="F81" s="180"/>
      <c r="G81" s="190" t="s">
        <v>394</v>
      </c>
      <c r="H81" s="180"/>
      <c r="I81" s="180"/>
      <c r="J81" s="189"/>
      <c r="K81" s="189"/>
      <c r="L81" s="180"/>
      <c r="M81" s="180"/>
      <c r="N81" s="180"/>
    </row>
    <row r="82" spans="1:14" ht="14.25" x14ac:dyDescent="0.2">
      <c r="A82" s="180"/>
      <c r="B82" s="190" t="s">
        <v>54</v>
      </c>
      <c r="C82" s="193">
        <v>0.75</v>
      </c>
      <c r="D82" s="190" t="s">
        <v>22</v>
      </c>
      <c r="E82" s="193">
        <v>0.8</v>
      </c>
      <c r="F82" s="192" t="s">
        <v>22</v>
      </c>
      <c r="G82" s="193">
        <v>1</v>
      </c>
      <c r="H82" s="190" t="s">
        <v>23</v>
      </c>
      <c r="I82" s="193">
        <f>ROUND((C82*E82*G82),2)</f>
        <v>0.6</v>
      </c>
      <c r="J82" s="189"/>
      <c r="K82" s="189"/>
      <c r="L82" s="180"/>
      <c r="M82" s="180"/>
      <c r="N82" s="180"/>
    </row>
    <row r="83" spans="1:14" ht="14.25" x14ac:dyDescent="0.2">
      <c r="A83" s="180"/>
      <c r="B83" s="189"/>
      <c r="C83" s="193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0"/>
    </row>
    <row r="84" spans="1:14" ht="14.25" x14ac:dyDescent="0.2">
      <c r="A84" s="180"/>
      <c r="B84" s="199" t="s">
        <v>403</v>
      </c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0"/>
    </row>
    <row r="85" spans="1:14" ht="14.25" x14ac:dyDescent="0.2">
      <c r="A85" s="180"/>
      <c r="B85" s="189"/>
      <c r="C85" s="190" t="s">
        <v>74</v>
      </c>
      <c r="D85" s="189"/>
      <c r="E85" s="190" t="s">
        <v>75</v>
      </c>
      <c r="F85" s="189"/>
      <c r="G85" s="190" t="s">
        <v>394</v>
      </c>
      <c r="H85" s="189"/>
      <c r="I85" s="189"/>
      <c r="J85" s="189"/>
      <c r="K85" s="189"/>
      <c r="L85" s="189"/>
      <c r="M85" s="189"/>
      <c r="N85" s="180"/>
    </row>
    <row r="86" spans="1:14" ht="14.25" x14ac:dyDescent="0.2">
      <c r="A86" s="180"/>
      <c r="B86" s="190" t="s">
        <v>54</v>
      </c>
      <c r="C86" s="193">
        <v>0.75</v>
      </c>
      <c r="D86" s="190" t="s">
        <v>22</v>
      </c>
      <c r="E86" s="193">
        <v>1.45</v>
      </c>
      <c r="F86" s="190" t="s">
        <v>22</v>
      </c>
      <c r="G86" s="193">
        <v>1</v>
      </c>
      <c r="H86" s="190" t="s">
        <v>23</v>
      </c>
      <c r="I86" s="193">
        <f>ROUND((C86*E86*G86),2)</f>
        <v>1.0900000000000001</v>
      </c>
      <c r="J86" s="189"/>
      <c r="K86" s="189"/>
      <c r="L86" s="189"/>
      <c r="M86" s="189"/>
      <c r="N86" s="180"/>
    </row>
    <row r="87" spans="1:14" ht="14.25" x14ac:dyDescent="0.2">
      <c r="A87" s="18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0"/>
    </row>
    <row r="88" spans="1:14" ht="14.25" x14ac:dyDescent="0.2">
      <c r="A88" s="18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0"/>
    </row>
    <row r="89" spans="1:14" ht="14.25" x14ac:dyDescent="0.2">
      <c r="A89" s="180"/>
      <c r="B89" s="189" t="s">
        <v>404</v>
      </c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0"/>
    </row>
    <row r="90" spans="1:14" ht="14.25" x14ac:dyDescent="0.2">
      <c r="A90" s="180"/>
      <c r="B90" s="190" t="s">
        <v>54</v>
      </c>
      <c r="C90" s="191">
        <f>I62</f>
        <v>1.54</v>
      </c>
      <c r="D90" s="191" t="s">
        <v>145</v>
      </c>
      <c r="E90" s="191">
        <v>1.4</v>
      </c>
      <c r="F90" s="191" t="s">
        <v>145</v>
      </c>
      <c r="G90" s="193">
        <f>G77</f>
        <v>1.96</v>
      </c>
      <c r="H90" s="191" t="s">
        <v>145</v>
      </c>
      <c r="I90" s="193">
        <f>I82</f>
        <v>0.6</v>
      </c>
      <c r="J90" s="191" t="s">
        <v>145</v>
      </c>
      <c r="K90" s="191">
        <f>I86</f>
        <v>1.0900000000000001</v>
      </c>
      <c r="L90" s="190" t="s">
        <v>23</v>
      </c>
      <c r="M90" s="193">
        <f>C90+E90+G90+I90+K90</f>
        <v>6.59</v>
      </c>
      <c r="N90" s="180"/>
    </row>
    <row r="91" spans="1:14" ht="14.25" x14ac:dyDescent="0.2">
      <c r="A91" s="18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0"/>
    </row>
    <row r="92" spans="1:14" ht="14.25" x14ac:dyDescent="0.2">
      <c r="A92" s="180"/>
      <c r="B92" s="189" t="s">
        <v>405</v>
      </c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0"/>
    </row>
    <row r="93" spans="1:14" ht="14.25" x14ac:dyDescent="0.2">
      <c r="A93" s="180"/>
      <c r="B93" s="189"/>
      <c r="C93" s="190" t="s">
        <v>406</v>
      </c>
      <c r="D93" s="189"/>
      <c r="E93" s="190" t="s">
        <v>407</v>
      </c>
      <c r="F93" s="189"/>
      <c r="G93" s="189"/>
      <c r="H93" s="189"/>
      <c r="I93" s="189"/>
      <c r="J93" s="189"/>
      <c r="K93" s="189"/>
      <c r="L93" s="189"/>
      <c r="M93" s="189"/>
      <c r="N93" s="180"/>
    </row>
    <row r="94" spans="1:14" ht="14.25" x14ac:dyDescent="0.2">
      <c r="A94" s="180"/>
      <c r="B94" s="190" t="s">
        <v>54</v>
      </c>
      <c r="C94" s="191">
        <f>M90</f>
        <v>6.59</v>
      </c>
      <c r="D94" s="190" t="s">
        <v>22</v>
      </c>
      <c r="E94" s="193">
        <f>F34</f>
        <v>10</v>
      </c>
      <c r="F94" s="190" t="s">
        <v>23</v>
      </c>
      <c r="G94" s="193">
        <f>ROUND((C94*E94),2)</f>
        <v>65.900000000000006</v>
      </c>
      <c r="H94" s="189"/>
      <c r="I94" s="189"/>
      <c r="J94" s="189"/>
      <c r="K94" s="189"/>
      <c r="L94" s="189"/>
      <c r="M94" s="189"/>
      <c r="N94" s="180"/>
    </row>
    <row r="95" spans="1:14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</row>
    <row r="96" spans="1:14" x14ac:dyDescent="0.2">
      <c r="A96" s="180"/>
      <c r="B96" s="192" t="s">
        <v>757</v>
      </c>
      <c r="C96" s="180"/>
      <c r="D96" s="180" t="s">
        <v>759</v>
      </c>
      <c r="E96" s="180"/>
      <c r="F96" s="180"/>
      <c r="G96" s="180"/>
      <c r="H96" s="180"/>
      <c r="I96" s="180"/>
      <c r="J96" s="180"/>
      <c r="K96" s="180"/>
      <c r="L96" s="180"/>
      <c r="M96" s="180"/>
      <c r="N96" s="180"/>
    </row>
    <row r="97" spans="1:14" x14ac:dyDescent="0.2">
      <c r="A97" s="180"/>
      <c r="B97" s="192" t="s">
        <v>758</v>
      </c>
      <c r="C97" s="180"/>
      <c r="D97" s="180" t="s">
        <v>760</v>
      </c>
      <c r="E97" s="180"/>
      <c r="F97" s="180"/>
      <c r="G97" s="180"/>
      <c r="H97" s="180"/>
      <c r="I97" s="180"/>
      <c r="J97" s="180"/>
      <c r="K97" s="180"/>
      <c r="L97" s="180"/>
      <c r="M97" s="180"/>
      <c r="N97" s="180"/>
    </row>
    <row r="98" spans="1:14" ht="14.25" x14ac:dyDescent="0.2">
      <c r="A98" s="180"/>
      <c r="B98" s="183">
        <f>G94</f>
        <v>65.900000000000006</v>
      </c>
      <c r="C98" s="183" t="s">
        <v>22</v>
      </c>
      <c r="D98" s="183">
        <f>D27</f>
        <v>1</v>
      </c>
      <c r="E98" s="184" t="s">
        <v>23</v>
      </c>
      <c r="F98" s="184">
        <f>ROUND(B98*D98,2)</f>
        <v>65.900000000000006</v>
      </c>
      <c r="G98" s="180"/>
      <c r="H98" s="180"/>
      <c r="I98" s="180"/>
      <c r="J98" s="180"/>
      <c r="K98" s="180"/>
      <c r="L98" s="180"/>
      <c r="M98" s="180"/>
      <c r="N98" s="180"/>
    </row>
    <row r="99" spans="1:14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</row>
    <row r="100" spans="1:14" ht="14.25" x14ac:dyDescent="0.2">
      <c r="A100" s="180"/>
      <c r="B100" s="200" t="s">
        <v>54</v>
      </c>
      <c r="C100" s="201">
        <f>F98</f>
        <v>65.900000000000006</v>
      </c>
      <c r="D100" s="202" t="s">
        <v>4</v>
      </c>
      <c r="E100" s="189"/>
      <c r="F100" s="180"/>
      <c r="G100" s="180"/>
      <c r="H100" s="180"/>
      <c r="I100" s="180"/>
      <c r="J100" s="180"/>
      <c r="K100" s="180"/>
      <c r="L100" s="180"/>
      <c r="M100" s="180"/>
      <c r="N100" s="180"/>
    </row>
    <row r="101" spans="1:14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</row>
    <row r="102" spans="1:14" ht="19.5" customHeight="1" x14ac:dyDescent="0.2">
      <c r="A102" s="181" t="str">
        <f>ORÇAMENTO!A167</f>
        <v>9.1.4</v>
      </c>
      <c r="B102" s="188" t="str">
        <f>ORÇAMENTO!D167</f>
        <v>ARMAÇÃO DE BLOCO, VIGA BALDRAME OU SAPATA UTILIZANDO AÇO CA-50 DE 10 MM - MONTAGEM. AF_06/2017</v>
      </c>
      <c r="C102" s="188"/>
      <c r="D102" s="188"/>
      <c r="E102" s="188"/>
      <c r="F102" s="188"/>
      <c r="G102" s="188"/>
      <c r="H102" s="188"/>
      <c r="I102" s="188"/>
      <c r="J102" s="188"/>
      <c r="K102" s="188"/>
      <c r="L102" s="188"/>
      <c r="M102" s="182"/>
      <c r="N102" s="180"/>
    </row>
    <row r="103" spans="1:14" ht="15" x14ac:dyDescent="0.2">
      <c r="A103" s="203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182"/>
      <c r="N103" s="180"/>
    </row>
    <row r="104" spans="1:14" ht="42.75" x14ac:dyDescent="0.2">
      <c r="A104" s="203"/>
      <c r="B104" s="205" t="s">
        <v>408</v>
      </c>
      <c r="C104" s="205" t="s">
        <v>409</v>
      </c>
      <c r="D104" s="205" t="s">
        <v>410</v>
      </c>
      <c r="E104" s="205" t="s">
        <v>155</v>
      </c>
      <c r="F104" s="205" t="s">
        <v>411</v>
      </c>
      <c r="G104" s="205" t="s">
        <v>412</v>
      </c>
      <c r="H104" s="204"/>
      <c r="I104" s="204"/>
      <c r="J104" s="204"/>
      <c r="K104" s="204"/>
      <c r="L104" s="204"/>
      <c r="M104" s="182"/>
      <c r="N104" s="180"/>
    </row>
    <row r="105" spans="1:14" ht="15" x14ac:dyDescent="0.2">
      <c r="A105" s="203"/>
      <c r="B105" s="1260" t="s">
        <v>413</v>
      </c>
      <c r="C105" s="1260" t="s">
        <v>414</v>
      </c>
      <c r="D105" s="205" t="s">
        <v>415</v>
      </c>
      <c r="E105" s="205">
        <v>14</v>
      </c>
      <c r="F105" s="205">
        <v>0.9</v>
      </c>
      <c r="G105" s="205">
        <f>ROUND((E105*F105),2)</f>
        <v>12.6</v>
      </c>
      <c r="H105" s="204"/>
      <c r="I105" s="204"/>
      <c r="J105" s="204"/>
      <c r="K105" s="204"/>
      <c r="L105" s="204"/>
      <c r="M105" s="182"/>
      <c r="N105" s="180"/>
    </row>
    <row r="106" spans="1:14" ht="15" x14ac:dyDescent="0.2">
      <c r="A106" s="203"/>
      <c r="B106" s="1261"/>
      <c r="C106" s="1261"/>
      <c r="D106" s="205" t="s">
        <v>416</v>
      </c>
      <c r="E106" s="205">
        <v>4</v>
      </c>
      <c r="F106" s="205">
        <v>0.9</v>
      </c>
      <c r="G106" s="205">
        <f t="shared" ref="G106:G123" si="1">ROUND((E106*F106),2)</f>
        <v>3.6</v>
      </c>
      <c r="H106" s="204"/>
      <c r="I106" s="204"/>
      <c r="J106" s="204"/>
      <c r="K106" s="204"/>
      <c r="L106" s="204"/>
      <c r="M106" s="182"/>
      <c r="N106" s="180"/>
    </row>
    <row r="107" spans="1:14" ht="15" x14ac:dyDescent="0.2">
      <c r="A107" s="203"/>
      <c r="B107" s="1261"/>
      <c r="C107" s="1261"/>
      <c r="D107" s="205" t="s">
        <v>417</v>
      </c>
      <c r="E107" s="205">
        <v>5</v>
      </c>
      <c r="F107" s="205">
        <v>0.9</v>
      </c>
      <c r="G107" s="205">
        <f t="shared" si="1"/>
        <v>4.5</v>
      </c>
      <c r="H107" s="204"/>
      <c r="I107" s="204"/>
      <c r="J107" s="204"/>
      <c r="K107" s="204"/>
      <c r="L107" s="204"/>
      <c r="M107" s="182"/>
      <c r="N107" s="180"/>
    </row>
    <row r="108" spans="1:14" ht="15" x14ac:dyDescent="0.2">
      <c r="A108" s="203"/>
      <c r="B108" s="1261"/>
      <c r="C108" s="1261"/>
      <c r="D108" s="205" t="s">
        <v>418</v>
      </c>
      <c r="E108" s="205">
        <v>9</v>
      </c>
      <c r="F108" s="205">
        <v>0.9</v>
      </c>
      <c r="G108" s="205">
        <f t="shared" si="1"/>
        <v>8.1</v>
      </c>
      <c r="H108" s="204"/>
      <c r="I108" s="204"/>
      <c r="J108" s="204"/>
      <c r="K108" s="204"/>
      <c r="L108" s="204"/>
      <c r="M108" s="182"/>
      <c r="N108" s="180"/>
    </row>
    <row r="109" spans="1:14" ht="15" x14ac:dyDescent="0.2">
      <c r="A109" s="203"/>
      <c r="B109" s="1261"/>
      <c r="C109" s="1261"/>
      <c r="D109" s="205" t="s">
        <v>419</v>
      </c>
      <c r="E109" s="205">
        <v>5</v>
      </c>
      <c r="F109" s="205">
        <v>2.2000000000000002</v>
      </c>
      <c r="G109" s="205">
        <f t="shared" si="1"/>
        <v>11</v>
      </c>
      <c r="H109" s="204"/>
      <c r="I109" s="204"/>
      <c r="J109" s="204"/>
      <c r="K109" s="204"/>
      <c r="L109" s="204"/>
      <c r="M109" s="182"/>
      <c r="N109" s="180"/>
    </row>
    <row r="110" spans="1:14" ht="15" x14ac:dyDescent="0.2">
      <c r="A110" s="203"/>
      <c r="B110" s="1261"/>
      <c r="C110" s="1261"/>
      <c r="D110" s="205" t="s">
        <v>420</v>
      </c>
      <c r="E110" s="205">
        <v>5</v>
      </c>
      <c r="F110" s="205">
        <v>1.55</v>
      </c>
      <c r="G110" s="205">
        <f t="shared" si="1"/>
        <v>7.75</v>
      </c>
      <c r="H110" s="204"/>
      <c r="I110" s="204"/>
      <c r="J110" s="204"/>
      <c r="K110" s="204"/>
      <c r="L110" s="204"/>
      <c r="M110" s="182"/>
      <c r="N110" s="180"/>
    </row>
    <row r="111" spans="1:14" ht="15" x14ac:dyDescent="0.2">
      <c r="A111" s="203"/>
      <c r="B111" s="1261"/>
      <c r="C111" s="1261"/>
      <c r="D111" s="205" t="s">
        <v>421</v>
      </c>
      <c r="E111" s="205">
        <v>6</v>
      </c>
      <c r="F111" s="205">
        <v>2.4</v>
      </c>
      <c r="G111" s="205">
        <f t="shared" si="1"/>
        <v>14.4</v>
      </c>
      <c r="H111" s="204"/>
      <c r="I111" s="204"/>
      <c r="J111" s="204"/>
      <c r="K111" s="204"/>
      <c r="L111" s="204"/>
      <c r="M111" s="182"/>
      <c r="N111" s="180"/>
    </row>
    <row r="112" spans="1:14" ht="15" x14ac:dyDescent="0.2">
      <c r="A112" s="203"/>
      <c r="B112" s="1261"/>
      <c r="C112" s="1261"/>
      <c r="D112" s="205" t="s">
        <v>422</v>
      </c>
      <c r="E112" s="205">
        <v>2</v>
      </c>
      <c r="F112" s="205">
        <v>1.82</v>
      </c>
      <c r="G112" s="205">
        <f t="shared" si="1"/>
        <v>3.64</v>
      </c>
      <c r="H112" s="204"/>
      <c r="I112" s="204"/>
      <c r="J112" s="204"/>
      <c r="K112" s="204"/>
      <c r="L112" s="204"/>
      <c r="M112" s="182"/>
      <c r="N112" s="180"/>
    </row>
    <row r="113" spans="1:14" ht="15" x14ac:dyDescent="0.2">
      <c r="A113" s="203"/>
      <c r="B113" s="1261"/>
      <c r="C113" s="1261"/>
      <c r="D113" s="205" t="s">
        <v>423</v>
      </c>
      <c r="E113" s="205">
        <v>10</v>
      </c>
      <c r="F113" s="205">
        <v>1</v>
      </c>
      <c r="G113" s="205">
        <f t="shared" si="1"/>
        <v>10</v>
      </c>
      <c r="H113" s="204"/>
      <c r="I113" s="204"/>
      <c r="J113" s="204"/>
      <c r="K113" s="204"/>
      <c r="L113" s="204"/>
      <c r="M113" s="182"/>
      <c r="N113" s="180"/>
    </row>
    <row r="114" spans="1:14" ht="15" x14ac:dyDescent="0.2">
      <c r="A114" s="203"/>
      <c r="B114" s="1261"/>
      <c r="C114" s="1261"/>
      <c r="D114" s="205" t="s">
        <v>424</v>
      </c>
      <c r="E114" s="205">
        <v>5</v>
      </c>
      <c r="F114" s="205">
        <v>1.03</v>
      </c>
      <c r="G114" s="205">
        <f t="shared" si="1"/>
        <v>5.15</v>
      </c>
      <c r="H114" s="204"/>
      <c r="I114" s="204"/>
      <c r="J114" s="204"/>
      <c r="K114" s="204"/>
      <c r="L114" s="204"/>
      <c r="M114" s="182"/>
      <c r="N114" s="180"/>
    </row>
    <row r="115" spans="1:14" ht="15" x14ac:dyDescent="0.2">
      <c r="A115" s="203"/>
      <c r="B115" s="1261"/>
      <c r="C115" s="1261"/>
      <c r="D115" s="205" t="s">
        <v>425</v>
      </c>
      <c r="E115" s="205">
        <v>2</v>
      </c>
      <c r="F115" s="205">
        <v>1</v>
      </c>
      <c r="G115" s="205">
        <f t="shared" si="1"/>
        <v>2</v>
      </c>
      <c r="H115" s="204"/>
      <c r="I115" s="204"/>
      <c r="J115" s="204"/>
      <c r="K115" s="204"/>
      <c r="L115" s="204"/>
      <c r="M115" s="182"/>
      <c r="N115" s="180"/>
    </row>
    <row r="116" spans="1:14" ht="15" x14ac:dyDescent="0.2">
      <c r="A116" s="203"/>
      <c r="B116" s="1261"/>
      <c r="C116" s="1261"/>
      <c r="D116" s="205" t="s">
        <v>426</v>
      </c>
      <c r="E116" s="205">
        <v>2</v>
      </c>
      <c r="F116" s="205">
        <v>0.95</v>
      </c>
      <c r="G116" s="205">
        <f t="shared" si="1"/>
        <v>1.9</v>
      </c>
      <c r="H116" s="204"/>
      <c r="I116" s="204"/>
      <c r="J116" s="204"/>
      <c r="K116" s="204"/>
      <c r="L116" s="204"/>
      <c r="M116" s="182"/>
      <c r="N116" s="180"/>
    </row>
    <row r="117" spans="1:14" ht="15" x14ac:dyDescent="0.2">
      <c r="A117" s="203"/>
      <c r="B117" s="1261"/>
      <c r="C117" s="1261"/>
      <c r="D117" s="205" t="s">
        <v>427</v>
      </c>
      <c r="E117" s="205">
        <v>2</v>
      </c>
      <c r="F117" s="205">
        <v>0.9</v>
      </c>
      <c r="G117" s="205">
        <f t="shared" si="1"/>
        <v>1.8</v>
      </c>
      <c r="H117" s="204"/>
      <c r="I117" s="204"/>
      <c r="J117" s="204"/>
      <c r="K117" s="204"/>
      <c r="L117" s="204"/>
      <c r="M117" s="182"/>
      <c r="N117" s="180"/>
    </row>
    <row r="118" spans="1:14" ht="15" x14ac:dyDescent="0.2">
      <c r="A118" s="203"/>
      <c r="B118" s="1261"/>
      <c r="C118" s="1261"/>
      <c r="D118" s="205" t="s">
        <v>428</v>
      </c>
      <c r="E118" s="205">
        <v>2</v>
      </c>
      <c r="F118" s="205">
        <v>0.87</v>
      </c>
      <c r="G118" s="205">
        <f t="shared" si="1"/>
        <v>1.74</v>
      </c>
      <c r="H118" s="204"/>
      <c r="I118" s="204"/>
      <c r="J118" s="204"/>
      <c r="K118" s="204"/>
      <c r="L118" s="204"/>
      <c r="M118" s="182"/>
      <c r="N118" s="180"/>
    </row>
    <row r="119" spans="1:14" ht="15" x14ac:dyDescent="0.2">
      <c r="A119" s="203"/>
      <c r="B119" s="1261"/>
      <c r="C119" s="1261"/>
      <c r="D119" s="205" t="s">
        <v>429</v>
      </c>
      <c r="E119" s="205">
        <v>2</v>
      </c>
      <c r="F119" s="205">
        <v>0.83</v>
      </c>
      <c r="G119" s="205">
        <f t="shared" si="1"/>
        <v>1.66</v>
      </c>
      <c r="H119" s="204"/>
      <c r="I119" s="204"/>
      <c r="J119" s="204"/>
      <c r="K119" s="204"/>
      <c r="L119" s="204"/>
      <c r="M119" s="182"/>
      <c r="N119" s="180"/>
    </row>
    <row r="120" spans="1:14" ht="15" x14ac:dyDescent="0.2">
      <c r="A120" s="203"/>
      <c r="B120" s="1261"/>
      <c r="C120" s="1261"/>
      <c r="D120" s="205" t="s">
        <v>430</v>
      </c>
      <c r="E120" s="205">
        <v>2</v>
      </c>
      <c r="F120" s="205">
        <v>0.8</v>
      </c>
      <c r="G120" s="205">
        <f t="shared" si="1"/>
        <v>1.6</v>
      </c>
      <c r="H120" s="204"/>
      <c r="I120" s="204"/>
      <c r="J120" s="204"/>
      <c r="K120" s="204"/>
      <c r="L120" s="204"/>
      <c r="M120" s="182"/>
      <c r="N120" s="180"/>
    </row>
    <row r="121" spans="1:14" ht="15" x14ac:dyDescent="0.2">
      <c r="A121" s="203"/>
      <c r="B121" s="1261"/>
      <c r="C121" s="1261"/>
      <c r="D121" s="205" t="s">
        <v>431</v>
      </c>
      <c r="E121" s="205">
        <v>2</v>
      </c>
      <c r="F121" s="205">
        <v>0.74</v>
      </c>
      <c r="G121" s="205">
        <f t="shared" si="1"/>
        <v>1.48</v>
      </c>
      <c r="H121" s="204"/>
      <c r="I121" s="204"/>
      <c r="J121" s="204"/>
      <c r="K121" s="204"/>
      <c r="L121" s="204"/>
      <c r="M121" s="182"/>
      <c r="N121" s="180"/>
    </row>
    <row r="122" spans="1:14" ht="15" x14ac:dyDescent="0.2">
      <c r="A122" s="203"/>
      <c r="B122" s="1261"/>
      <c r="C122" s="1261"/>
      <c r="D122" s="205" t="s">
        <v>432</v>
      </c>
      <c r="E122" s="205">
        <v>2</v>
      </c>
      <c r="F122" s="205">
        <v>0.7</v>
      </c>
      <c r="G122" s="205">
        <f t="shared" si="1"/>
        <v>1.4</v>
      </c>
      <c r="H122" s="204"/>
      <c r="I122" s="204"/>
      <c r="J122" s="204"/>
      <c r="K122" s="204"/>
      <c r="L122" s="204"/>
      <c r="M122" s="182"/>
      <c r="N122" s="180"/>
    </row>
    <row r="123" spans="1:14" ht="15" x14ac:dyDescent="0.2">
      <c r="A123" s="203"/>
      <c r="B123" s="1262"/>
      <c r="C123" s="1262"/>
      <c r="D123" s="205" t="s">
        <v>433</v>
      </c>
      <c r="E123" s="205">
        <v>2</v>
      </c>
      <c r="F123" s="205">
        <v>0.64</v>
      </c>
      <c r="G123" s="205">
        <f t="shared" si="1"/>
        <v>1.28</v>
      </c>
      <c r="H123" s="204"/>
      <c r="I123" s="204"/>
      <c r="J123" s="204"/>
      <c r="K123" s="204"/>
      <c r="L123" s="204"/>
      <c r="M123" s="182"/>
      <c r="N123" s="180"/>
    </row>
    <row r="124" spans="1:14" ht="15" x14ac:dyDescent="0.2">
      <c r="A124" s="203"/>
      <c r="B124" s="1255" t="s">
        <v>434</v>
      </c>
      <c r="C124" s="1255"/>
      <c r="D124" s="1255"/>
      <c r="E124" s="1255"/>
      <c r="F124" s="1255"/>
      <c r="G124" s="205">
        <f>SUM(G105:G123)</f>
        <v>95.6</v>
      </c>
      <c r="H124" s="204"/>
      <c r="I124" s="204"/>
      <c r="J124" s="204"/>
      <c r="K124" s="204"/>
      <c r="L124" s="204"/>
      <c r="M124" s="182"/>
      <c r="N124" s="180"/>
    </row>
    <row r="125" spans="1:14" ht="15" x14ac:dyDescent="0.2">
      <c r="A125" s="203"/>
      <c r="B125" s="206"/>
      <c r="C125" s="206"/>
      <c r="D125" s="206"/>
      <c r="E125" s="206"/>
      <c r="F125" s="206"/>
      <c r="G125" s="206"/>
      <c r="H125" s="204"/>
      <c r="I125" s="204"/>
      <c r="J125" s="204"/>
      <c r="K125" s="204"/>
      <c r="L125" s="204"/>
      <c r="M125" s="182"/>
      <c r="N125" s="180"/>
    </row>
    <row r="126" spans="1:14" ht="15" x14ac:dyDescent="0.2">
      <c r="A126" s="203"/>
      <c r="B126" s="206"/>
      <c r="C126" s="207" t="s">
        <v>435</v>
      </c>
      <c r="D126" s="206"/>
      <c r="E126" s="207" t="s">
        <v>436</v>
      </c>
      <c r="F126" s="206"/>
      <c r="G126" s="207" t="s">
        <v>437</v>
      </c>
      <c r="H126" s="204"/>
      <c r="I126" s="204"/>
      <c r="J126" s="204"/>
      <c r="K126" s="204"/>
      <c r="L126" s="204"/>
      <c r="M126" s="182"/>
      <c r="N126" s="180"/>
    </row>
    <row r="127" spans="1:14" ht="15" x14ac:dyDescent="0.2">
      <c r="A127" s="203"/>
      <c r="B127" s="206" t="s">
        <v>54</v>
      </c>
      <c r="C127" s="206">
        <f>G124</f>
        <v>95.6</v>
      </c>
      <c r="D127" s="206" t="s">
        <v>22</v>
      </c>
      <c r="E127" s="206">
        <f>E94</f>
        <v>10</v>
      </c>
      <c r="F127" s="208" t="s">
        <v>22</v>
      </c>
      <c r="G127" s="209">
        <v>0.61699999999999999</v>
      </c>
      <c r="H127" s="206" t="s">
        <v>23</v>
      </c>
      <c r="I127" s="206">
        <f>ROUND((C127*E127*G127),2)</f>
        <v>589.85</v>
      </c>
      <c r="J127" s="204"/>
      <c r="K127" s="204"/>
      <c r="L127" s="204"/>
      <c r="M127" s="182"/>
      <c r="N127" s="180"/>
    </row>
    <row r="128" spans="1:14" x14ac:dyDescent="0.2">
      <c r="A128" s="180"/>
      <c r="B128" s="180"/>
      <c r="C128" s="180"/>
      <c r="D128" s="180"/>
      <c r="E128" s="180"/>
      <c r="F128" s="180"/>
      <c r="G128" s="180"/>
      <c r="H128" s="180"/>
      <c r="I128" s="180" t="s">
        <v>55</v>
      </c>
      <c r="J128" s="180"/>
      <c r="K128" s="180"/>
      <c r="L128" s="180"/>
      <c r="M128" s="180"/>
      <c r="N128" s="180"/>
    </row>
    <row r="129" spans="1:14" x14ac:dyDescent="0.2">
      <c r="A129" s="180"/>
      <c r="B129" s="192" t="s">
        <v>757</v>
      </c>
      <c r="C129" s="180"/>
      <c r="D129" s="180" t="s">
        <v>759</v>
      </c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</row>
    <row r="130" spans="1:14" x14ac:dyDescent="0.2">
      <c r="A130" s="180"/>
      <c r="B130" s="192" t="s">
        <v>758</v>
      </c>
      <c r="C130" s="180"/>
      <c r="D130" s="180" t="s">
        <v>760</v>
      </c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</row>
    <row r="131" spans="1:14" ht="14.25" x14ac:dyDescent="0.2">
      <c r="A131" s="180"/>
      <c r="B131" s="183">
        <f>I127</f>
        <v>589.85</v>
      </c>
      <c r="C131" s="183" t="s">
        <v>22</v>
      </c>
      <c r="D131" s="183">
        <f>D27</f>
        <v>1</v>
      </c>
      <c r="E131" s="184" t="s">
        <v>23</v>
      </c>
      <c r="F131" s="184">
        <f>ROUND(B131*D131,2)</f>
        <v>589.85</v>
      </c>
      <c r="G131" s="180"/>
      <c r="H131" s="180"/>
      <c r="I131" s="180"/>
      <c r="J131" s="180"/>
      <c r="K131" s="180"/>
      <c r="L131" s="180"/>
      <c r="M131" s="180"/>
      <c r="N131" s="180"/>
    </row>
    <row r="132" spans="1:14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</row>
    <row r="133" spans="1:14" ht="14.25" x14ac:dyDescent="0.2">
      <c r="A133" s="180"/>
      <c r="B133" s="200" t="s">
        <v>54</v>
      </c>
      <c r="C133" s="201">
        <f>F131</f>
        <v>589.85</v>
      </c>
      <c r="D133" s="202" t="s">
        <v>136</v>
      </c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</row>
    <row r="134" spans="1:14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</row>
    <row r="135" spans="1:14" ht="25.5" customHeight="1" x14ac:dyDescent="0.2">
      <c r="A135" s="181" t="str">
        <f>ORÇAMENTO!A168</f>
        <v>9.1.5</v>
      </c>
      <c r="B135" s="1256" t="str">
        <f>ORÇAMENTO!D168</f>
        <v>CONCRETO FCK = 20MPA, TRAÇO 1:2,7:3 (EM MASSA SECA DE CIMENTO/ AREIA MÉDIA/ BRITA 1) - PREPARO MECÂNICO COM BETONEIRA 600 L. AF_05/2021</v>
      </c>
      <c r="C135" s="1256"/>
      <c r="D135" s="1256"/>
      <c r="E135" s="1256"/>
      <c r="F135" s="1256"/>
      <c r="G135" s="1256"/>
      <c r="H135" s="1256"/>
      <c r="I135" s="1256"/>
      <c r="J135" s="1256"/>
      <c r="K135" s="1256"/>
      <c r="L135" s="1256"/>
      <c r="M135" s="182"/>
      <c r="N135" s="180"/>
    </row>
    <row r="136" spans="1:14" ht="14.25" x14ac:dyDescent="0.2">
      <c r="A136" s="18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0"/>
      <c r="N136" s="180"/>
    </row>
    <row r="137" spans="1:14" ht="16.5" x14ac:dyDescent="0.35">
      <c r="A137" s="180"/>
      <c r="B137" s="210" t="s">
        <v>438</v>
      </c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0"/>
      <c r="N137" s="180"/>
    </row>
    <row r="138" spans="1:14" ht="14.25" x14ac:dyDescent="0.2">
      <c r="A138" s="180"/>
      <c r="B138" s="190" t="s">
        <v>396</v>
      </c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0"/>
      <c r="N138" s="180"/>
    </row>
    <row r="139" spans="1:14" ht="14.25" x14ac:dyDescent="0.2">
      <c r="A139" s="180"/>
      <c r="B139" s="189"/>
      <c r="C139" s="190" t="s">
        <v>74</v>
      </c>
      <c r="D139" s="189"/>
      <c r="E139" s="190" t="s">
        <v>75</v>
      </c>
      <c r="F139" s="189"/>
      <c r="G139" s="190" t="s">
        <v>394</v>
      </c>
      <c r="H139" s="189"/>
      <c r="I139" s="189"/>
      <c r="J139" s="189"/>
      <c r="K139" s="189"/>
      <c r="L139" s="189"/>
      <c r="M139" s="180"/>
      <c r="N139" s="180"/>
    </row>
    <row r="140" spans="1:14" ht="14.25" x14ac:dyDescent="0.2">
      <c r="A140" s="180"/>
      <c r="B140" s="190" t="s">
        <v>54</v>
      </c>
      <c r="C140" s="193">
        <v>0.9</v>
      </c>
      <c r="D140" s="190" t="s">
        <v>22</v>
      </c>
      <c r="E140" s="193">
        <v>0.8</v>
      </c>
      <c r="F140" s="190" t="s">
        <v>22</v>
      </c>
      <c r="G140" s="193">
        <v>1</v>
      </c>
      <c r="H140" s="190" t="s">
        <v>23</v>
      </c>
      <c r="I140" s="191">
        <f>ROUND((C140*E140*G140),2)</f>
        <v>0.72</v>
      </c>
      <c r="J140" s="189"/>
      <c r="K140" s="189"/>
      <c r="L140" s="189"/>
      <c r="M140" s="180"/>
      <c r="N140" s="180"/>
    </row>
    <row r="141" spans="1:14" ht="14.25" x14ac:dyDescent="0.2">
      <c r="A141" s="18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0"/>
      <c r="N141" s="180"/>
    </row>
    <row r="142" spans="1:14" ht="14.25" x14ac:dyDescent="0.2">
      <c r="A142" s="180"/>
      <c r="B142" s="190" t="s">
        <v>274</v>
      </c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0"/>
      <c r="N142" s="180"/>
    </row>
    <row r="143" spans="1:14" ht="14.25" x14ac:dyDescent="0.2">
      <c r="A143" s="18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0"/>
      <c r="N143" s="180"/>
    </row>
    <row r="144" spans="1:14" ht="14.25" x14ac:dyDescent="0.2">
      <c r="A144" s="180"/>
      <c r="B144" s="189" t="s">
        <v>397</v>
      </c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0"/>
      <c r="N144" s="180"/>
    </row>
    <row r="145" spans="1:14" ht="14.25" x14ac:dyDescent="0.2">
      <c r="A145" s="18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0"/>
      <c r="N145" s="180"/>
    </row>
    <row r="146" spans="1:14" ht="14.25" x14ac:dyDescent="0.2">
      <c r="A146" s="180"/>
      <c r="B146" s="189"/>
      <c r="C146" s="1257" t="s">
        <v>398</v>
      </c>
      <c r="D146" s="1257"/>
      <c r="E146" s="1257"/>
      <c r="F146" s="1257"/>
      <c r="G146" s="1257"/>
      <c r="H146" s="1257"/>
      <c r="I146" s="1257"/>
      <c r="J146" s="189"/>
      <c r="K146" s="189"/>
      <c r="L146" s="189"/>
      <c r="M146" s="180"/>
      <c r="N146" s="180"/>
    </row>
    <row r="147" spans="1:14" ht="14.25" x14ac:dyDescent="0.2">
      <c r="A147" s="180"/>
      <c r="B147" s="190" t="s">
        <v>54</v>
      </c>
      <c r="C147" s="194" t="s">
        <v>399</v>
      </c>
      <c r="D147" s="195">
        <v>0.9</v>
      </c>
      <c r="E147" s="196" t="s">
        <v>145</v>
      </c>
      <c r="F147" s="197">
        <v>0.5</v>
      </c>
      <c r="G147" s="196" t="s">
        <v>400</v>
      </c>
      <c r="H147" s="196" t="s">
        <v>22</v>
      </c>
      <c r="I147" s="197">
        <v>1.4</v>
      </c>
      <c r="J147" s="190" t="s">
        <v>23</v>
      </c>
      <c r="K147" s="191">
        <f>ROUND((((D147+F147)*I147)/C148),2)</f>
        <v>0.98</v>
      </c>
      <c r="L147" s="189"/>
      <c r="M147" s="180"/>
      <c r="N147" s="180"/>
    </row>
    <row r="148" spans="1:14" ht="14.25" x14ac:dyDescent="0.2">
      <c r="A148" s="180"/>
      <c r="B148" s="189"/>
      <c r="C148" s="1258">
        <v>2</v>
      </c>
      <c r="D148" s="1258"/>
      <c r="E148" s="1258"/>
      <c r="F148" s="1258"/>
      <c r="G148" s="1258"/>
      <c r="H148" s="1258"/>
      <c r="I148" s="1258"/>
      <c r="J148" s="189"/>
      <c r="K148" s="189"/>
      <c r="L148" s="189"/>
      <c r="M148" s="180"/>
      <c r="N148" s="180"/>
    </row>
    <row r="149" spans="1:14" ht="14.25" x14ac:dyDescent="0.2">
      <c r="A149" s="180"/>
      <c r="B149" s="189"/>
      <c r="C149" s="189" t="s">
        <v>398</v>
      </c>
      <c r="D149" s="189"/>
      <c r="E149" s="189" t="s">
        <v>394</v>
      </c>
      <c r="F149" s="189"/>
      <c r="G149" s="189"/>
      <c r="H149" s="189"/>
      <c r="I149" s="189"/>
      <c r="J149" s="189"/>
      <c r="K149" s="189"/>
      <c r="L149" s="189"/>
      <c r="M149" s="180"/>
      <c r="N149" s="180"/>
    </row>
    <row r="150" spans="1:14" ht="14.25" x14ac:dyDescent="0.2">
      <c r="A150" s="180"/>
      <c r="B150" s="190" t="s">
        <v>54</v>
      </c>
      <c r="C150" s="191">
        <f>K147</f>
        <v>0.98</v>
      </c>
      <c r="D150" s="190" t="s">
        <v>22</v>
      </c>
      <c r="E150" s="193">
        <f>G140</f>
        <v>1</v>
      </c>
      <c r="F150" s="190" t="s">
        <v>23</v>
      </c>
      <c r="G150" s="193">
        <f>ROUND((C150*E150),2)</f>
        <v>0.98</v>
      </c>
      <c r="H150" s="189"/>
      <c r="I150" s="189"/>
      <c r="J150" s="189"/>
      <c r="K150" s="189"/>
      <c r="L150" s="189"/>
      <c r="M150" s="180"/>
      <c r="N150" s="180"/>
    </row>
    <row r="151" spans="1:14" ht="14.25" x14ac:dyDescent="0.2">
      <c r="A151" s="18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0"/>
      <c r="N151" s="180"/>
    </row>
    <row r="152" spans="1:14" ht="14.25" x14ac:dyDescent="0.2">
      <c r="A152" s="18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0"/>
      <c r="N152" s="180"/>
    </row>
    <row r="153" spans="1:14" ht="14.25" x14ac:dyDescent="0.2">
      <c r="A153" s="180"/>
      <c r="B153" s="189" t="s">
        <v>439</v>
      </c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0"/>
      <c r="N153" s="180"/>
    </row>
    <row r="154" spans="1:14" ht="14.25" x14ac:dyDescent="0.2">
      <c r="A154" s="180"/>
      <c r="B154" s="190" t="s">
        <v>54</v>
      </c>
      <c r="C154" s="191">
        <f>I140</f>
        <v>0.72</v>
      </c>
      <c r="D154" s="191" t="s">
        <v>145</v>
      </c>
      <c r="E154" s="191">
        <f>K147</f>
        <v>0.98</v>
      </c>
      <c r="F154" s="190" t="s">
        <v>23</v>
      </c>
      <c r="G154" s="193">
        <f>C154+E154</f>
        <v>1.7</v>
      </c>
      <c r="H154" s="189"/>
      <c r="I154" s="189"/>
      <c r="J154" s="189"/>
      <c r="K154" s="189"/>
      <c r="L154" s="189"/>
      <c r="M154" s="180"/>
      <c r="N154" s="180"/>
    </row>
    <row r="155" spans="1:14" ht="14.25" x14ac:dyDescent="0.2">
      <c r="A155" s="18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0"/>
      <c r="N155" s="180"/>
    </row>
    <row r="156" spans="1:14" ht="14.25" x14ac:dyDescent="0.2">
      <c r="A156" s="180"/>
      <c r="B156" s="189" t="s">
        <v>440</v>
      </c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0"/>
      <c r="N156" s="180"/>
    </row>
    <row r="157" spans="1:14" ht="14.25" x14ac:dyDescent="0.2">
      <c r="A157" s="180"/>
      <c r="B157" s="189"/>
      <c r="C157" s="190" t="s">
        <v>441</v>
      </c>
      <c r="D157" s="189"/>
      <c r="E157" s="189" t="s">
        <v>74</v>
      </c>
      <c r="F157" s="189"/>
      <c r="G157" s="190" t="s">
        <v>442</v>
      </c>
      <c r="H157" s="189"/>
      <c r="I157" s="189"/>
      <c r="J157" s="189"/>
      <c r="K157" s="189"/>
      <c r="L157" s="189"/>
      <c r="M157" s="180"/>
      <c r="N157" s="180"/>
    </row>
    <row r="158" spans="1:14" ht="14.25" x14ac:dyDescent="0.2">
      <c r="A158" s="180"/>
      <c r="B158" s="190" t="s">
        <v>54</v>
      </c>
      <c r="C158" s="193">
        <f>G154</f>
        <v>1.7</v>
      </c>
      <c r="D158" s="190" t="s">
        <v>22</v>
      </c>
      <c r="E158" s="193">
        <v>0.75</v>
      </c>
      <c r="F158" s="190" t="s">
        <v>23</v>
      </c>
      <c r="G158" s="193">
        <f>ROUND((C158*E158),2)</f>
        <v>1.28</v>
      </c>
      <c r="H158" s="189"/>
      <c r="I158" s="189"/>
      <c r="J158" s="189"/>
      <c r="K158" s="189"/>
      <c r="L158" s="189"/>
      <c r="M158" s="180"/>
      <c r="N158" s="180"/>
    </row>
    <row r="159" spans="1:14" ht="14.25" x14ac:dyDescent="0.2">
      <c r="A159" s="18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0"/>
      <c r="N159" s="180"/>
    </row>
    <row r="160" spans="1:14" ht="14.25" x14ac:dyDescent="0.2">
      <c r="A160" s="180"/>
      <c r="B160" s="189" t="s">
        <v>443</v>
      </c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0"/>
      <c r="N160" s="180"/>
    </row>
    <row r="161" spans="1:14" ht="14.25" x14ac:dyDescent="0.2">
      <c r="A161" s="180"/>
      <c r="B161" s="189"/>
      <c r="C161" s="190" t="s">
        <v>442</v>
      </c>
      <c r="D161" s="189"/>
      <c r="E161" s="190" t="s">
        <v>436</v>
      </c>
      <c r="F161" s="189"/>
      <c r="G161" s="189"/>
      <c r="H161" s="189"/>
      <c r="I161" s="189"/>
      <c r="J161" s="189"/>
      <c r="K161" s="189"/>
      <c r="L161" s="189"/>
      <c r="M161" s="180"/>
      <c r="N161" s="180"/>
    </row>
    <row r="162" spans="1:14" ht="14.25" x14ac:dyDescent="0.2">
      <c r="A162" s="180"/>
      <c r="B162" s="190" t="s">
        <v>54</v>
      </c>
      <c r="C162" s="193">
        <f>G158</f>
        <v>1.28</v>
      </c>
      <c r="D162" s="190" t="s">
        <v>22</v>
      </c>
      <c r="E162" s="193">
        <f>E127</f>
        <v>10</v>
      </c>
      <c r="F162" s="190" t="s">
        <v>23</v>
      </c>
      <c r="G162" s="193">
        <f>ROUND((C162*E162),2)</f>
        <v>12.8</v>
      </c>
      <c r="H162" s="189"/>
      <c r="I162" s="189"/>
      <c r="J162" s="189"/>
      <c r="K162" s="189"/>
      <c r="L162" s="189"/>
      <c r="M162" s="180"/>
      <c r="N162" s="180"/>
    </row>
    <row r="163" spans="1:14" ht="14.25" x14ac:dyDescent="0.2">
      <c r="A163" s="180"/>
      <c r="B163" s="190"/>
      <c r="C163" s="193"/>
      <c r="D163" s="190"/>
      <c r="E163" s="193"/>
      <c r="F163" s="190"/>
      <c r="G163" s="193"/>
      <c r="H163" s="189"/>
      <c r="I163" s="189"/>
      <c r="J163" s="189"/>
      <c r="K163" s="189"/>
      <c r="L163" s="189"/>
      <c r="M163" s="180"/>
      <c r="N163" s="180"/>
    </row>
    <row r="164" spans="1:14" x14ac:dyDescent="0.2">
      <c r="A164" s="180"/>
      <c r="B164" s="192" t="s">
        <v>757</v>
      </c>
      <c r="C164" s="180"/>
      <c r="D164" s="180" t="s">
        <v>759</v>
      </c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</row>
    <row r="165" spans="1:14" x14ac:dyDescent="0.2">
      <c r="A165" s="180"/>
      <c r="B165" s="192" t="s">
        <v>758</v>
      </c>
      <c r="C165" s="180"/>
      <c r="D165" s="180" t="s">
        <v>760</v>
      </c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</row>
    <row r="166" spans="1:14" ht="14.25" x14ac:dyDescent="0.2">
      <c r="A166" s="180"/>
      <c r="B166" s="183">
        <f>G162</f>
        <v>12.8</v>
      </c>
      <c r="C166" s="183" t="s">
        <v>22</v>
      </c>
      <c r="D166" s="183">
        <f>D27</f>
        <v>1</v>
      </c>
      <c r="E166" s="184" t="s">
        <v>23</v>
      </c>
      <c r="F166" s="184">
        <f>ROUND(B166*D166,2)</f>
        <v>12.8</v>
      </c>
      <c r="G166" s="180"/>
      <c r="H166" s="180"/>
      <c r="I166" s="180"/>
      <c r="J166" s="180"/>
      <c r="K166" s="180"/>
      <c r="L166" s="180"/>
      <c r="M166" s="180"/>
      <c r="N166" s="180"/>
    </row>
    <row r="167" spans="1:14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</row>
    <row r="168" spans="1:14" ht="14.25" x14ac:dyDescent="0.2">
      <c r="A168" s="180"/>
      <c r="B168" s="200" t="s">
        <v>54</v>
      </c>
      <c r="C168" s="201">
        <f>F166</f>
        <v>12.8</v>
      </c>
      <c r="D168" s="202" t="s">
        <v>5</v>
      </c>
      <c r="E168" s="189"/>
      <c r="F168" s="189"/>
      <c r="G168" s="189"/>
      <c r="H168" s="189"/>
      <c r="I168" s="189"/>
      <c r="J168" s="189"/>
      <c r="K168" s="189"/>
      <c r="L168" s="189"/>
      <c r="M168" s="180"/>
      <c r="N168" s="180"/>
    </row>
    <row r="169" spans="1:14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</row>
    <row r="170" spans="1:14" ht="25.5" customHeight="1" x14ac:dyDescent="0.2">
      <c r="A170" s="181" t="str">
        <f>ORÇAMENTO!A169</f>
        <v>9.1.6</v>
      </c>
      <c r="B170" s="1256" t="str">
        <f>ORÇAMENTO!D169</f>
        <v>REATERRO MANUAL APILOADO COM SOQUETE. AF_10/2017</v>
      </c>
      <c r="C170" s="1256"/>
      <c r="D170" s="1256"/>
      <c r="E170" s="1256"/>
      <c r="F170" s="1256"/>
      <c r="G170" s="1256"/>
      <c r="H170" s="1256"/>
      <c r="I170" s="1256"/>
      <c r="J170" s="1256"/>
      <c r="K170" s="1256"/>
      <c r="L170" s="1256"/>
      <c r="M170" s="182"/>
      <c r="N170" s="180"/>
    </row>
    <row r="171" spans="1:14" x14ac:dyDescent="0.2">
      <c r="A171" s="180"/>
      <c r="B171" s="211" t="s">
        <v>444</v>
      </c>
      <c r="C171" s="212"/>
      <c r="D171" s="211" t="s">
        <v>445</v>
      </c>
      <c r="E171" s="212"/>
      <c r="F171" s="213"/>
      <c r="G171" s="180"/>
      <c r="H171" s="180"/>
      <c r="I171" s="180"/>
      <c r="J171" s="180"/>
      <c r="K171" s="180"/>
      <c r="L171" s="180"/>
      <c r="M171" s="180"/>
      <c r="N171" s="180"/>
    </row>
    <row r="172" spans="1:14" x14ac:dyDescent="0.2">
      <c r="A172" s="180"/>
      <c r="B172" s="211" t="str">
        <f>A19</f>
        <v>9.1.1</v>
      </c>
      <c r="C172" s="211"/>
      <c r="D172" s="211" t="str">
        <f>A135</f>
        <v>9.1.5</v>
      </c>
      <c r="E172" s="211"/>
      <c r="F172" s="211" t="s">
        <v>154</v>
      </c>
      <c r="G172" s="180"/>
      <c r="H172" s="180"/>
      <c r="I172" s="180"/>
      <c r="J172" s="180"/>
      <c r="K172" s="180"/>
      <c r="L172" s="180"/>
      <c r="M172" s="180"/>
      <c r="N172" s="180"/>
    </row>
    <row r="173" spans="1:14" x14ac:dyDescent="0.2">
      <c r="A173" s="180"/>
      <c r="B173" s="211">
        <f>C29</f>
        <v>13.86</v>
      </c>
      <c r="C173" s="211" t="s">
        <v>22</v>
      </c>
      <c r="D173" s="211">
        <f>C168</f>
        <v>12.8</v>
      </c>
      <c r="E173" s="211" t="s">
        <v>23</v>
      </c>
      <c r="F173" s="211">
        <f>B173-D173</f>
        <v>1.0599999999999987</v>
      </c>
      <c r="G173" s="180"/>
      <c r="H173" s="180"/>
      <c r="I173" s="180"/>
      <c r="J173" s="180"/>
      <c r="K173" s="180"/>
      <c r="L173" s="180"/>
      <c r="M173" s="180"/>
      <c r="N173" s="180"/>
    </row>
    <row r="174" spans="1:14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</row>
    <row r="175" spans="1:14" x14ac:dyDescent="0.2">
      <c r="A175" s="180"/>
      <c r="B175" s="192" t="s">
        <v>757</v>
      </c>
      <c r="C175" s="180"/>
      <c r="D175" s="180" t="s">
        <v>759</v>
      </c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</row>
    <row r="176" spans="1:14" x14ac:dyDescent="0.2">
      <c r="A176" s="180"/>
      <c r="B176" s="192" t="s">
        <v>758</v>
      </c>
      <c r="C176" s="180"/>
      <c r="D176" s="180" t="s">
        <v>760</v>
      </c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</row>
    <row r="177" spans="1:14" ht="14.25" x14ac:dyDescent="0.2">
      <c r="A177" s="180"/>
      <c r="B177" s="183">
        <f>F173</f>
        <v>1.0599999999999987</v>
      </c>
      <c r="C177" s="183" t="s">
        <v>22</v>
      </c>
      <c r="D177" s="183">
        <f>D27</f>
        <v>1</v>
      </c>
      <c r="E177" s="184" t="s">
        <v>23</v>
      </c>
      <c r="F177" s="184">
        <f>ROUND(B177*D177,2)</f>
        <v>1.06</v>
      </c>
      <c r="G177" s="180"/>
      <c r="H177" s="180"/>
      <c r="I177" s="180"/>
      <c r="J177" s="180"/>
      <c r="K177" s="180"/>
      <c r="L177" s="180"/>
      <c r="M177" s="180"/>
      <c r="N177" s="180"/>
    </row>
    <row r="178" spans="1:14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</row>
    <row r="179" spans="1:14" x14ac:dyDescent="0.2">
      <c r="A179" s="180"/>
      <c r="B179" s="185" t="s">
        <v>54</v>
      </c>
      <c r="C179" s="186">
        <f>F177</f>
        <v>1.06</v>
      </c>
      <c r="D179" s="187" t="s">
        <v>5</v>
      </c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</row>
    <row r="180" spans="1:14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</row>
    <row r="181" spans="1:14" ht="15" x14ac:dyDescent="0.2">
      <c r="A181" s="181" t="str">
        <f>ORÇAMENTO!A170</f>
        <v>9.2</v>
      </c>
      <c r="B181" s="1256" t="str">
        <f>ORÇAMENTO!D170</f>
        <v>ESTRUTURA DOS ARCOS</v>
      </c>
      <c r="C181" s="1256"/>
      <c r="D181" s="1256"/>
      <c r="E181" s="1256"/>
      <c r="F181" s="1256"/>
      <c r="G181" s="1256"/>
      <c r="H181" s="1256"/>
      <c r="I181" s="1256"/>
      <c r="J181" s="1256"/>
      <c r="K181" s="1256"/>
      <c r="L181" s="1256"/>
      <c r="M181" s="182"/>
      <c r="N181" s="180"/>
    </row>
    <row r="182" spans="1:14" ht="15" customHeight="1" x14ac:dyDescent="0.2">
      <c r="A182" s="181" t="str">
        <f>ORÇAMENTO!A171</f>
        <v>9.2.1</v>
      </c>
      <c r="B182" s="188" t="str">
        <f>ORÇAMENTO!D171</f>
        <v>TUBO ACO GALVANIZADO COM COSTURA, CLASSE MEDIA, DN 5", E = *5,40* MM, PESO *17,80* KG/M (NBR 5580)</v>
      </c>
      <c r="C182" s="188"/>
      <c r="D182" s="188"/>
      <c r="E182" s="188"/>
      <c r="F182" s="188"/>
      <c r="G182" s="188"/>
      <c r="H182" s="188"/>
      <c r="I182" s="188"/>
      <c r="J182" s="188"/>
      <c r="K182" s="188"/>
      <c r="L182" s="188"/>
      <c r="M182" s="182"/>
      <c r="N182" s="180"/>
    </row>
    <row r="183" spans="1:14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</row>
    <row r="184" spans="1:14" ht="14.25" x14ac:dyDescent="0.2">
      <c r="A184" s="180"/>
      <c r="B184" s="1241" t="s">
        <v>446</v>
      </c>
      <c r="C184" s="1241"/>
      <c r="D184" s="1241"/>
      <c r="E184" s="1241"/>
      <c r="F184" s="1241"/>
      <c r="G184" s="180"/>
      <c r="H184" s="180"/>
      <c r="I184" s="180"/>
      <c r="J184" s="180"/>
      <c r="K184" s="180"/>
      <c r="L184" s="180"/>
      <c r="M184" s="180"/>
      <c r="N184" s="180"/>
    </row>
    <row r="185" spans="1:14" ht="14.25" x14ac:dyDescent="0.2">
      <c r="A185" s="180"/>
      <c r="B185" s="183" t="s">
        <v>447</v>
      </c>
      <c r="C185" s="183"/>
      <c r="D185" s="183" t="s">
        <v>153</v>
      </c>
      <c r="E185" s="183"/>
      <c r="F185" s="183" t="s">
        <v>154</v>
      </c>
      <c r="G185" s="180"/>
      <c r="H185" s="180"/>
      <c r="I185" s="180"/>
      <c r="J185" s="180"/>
      <c r="K185" s="180"/>
      <c r="L185" s="180"/>
      <c r="M185" s="180"/>
      <c r="N185" s="180"/>
    </row>
    <row r="186" spans="1:14" ht="14.25" x14ac:dyDescent="0.2">
      <c r="A186" s="180"/>
      <c r="B186" s="183">
        <f>21.58+4.1+4.1</f>
        <v>29.78</v>
      </c>
      <c r="C186" s="183" t="s">
        <v>22</v>
      </c>
      <c r="D186" s="183">
        <v>8</v>
      </c>
      <c r="E186" s="183" t="s">
        <v>23</v>
      </c>
      <c r="F186" s="183">
        <f>ROUND((B186*D186),2)</f>
        <v>238.24</v>
      </c>
      <c r="G186" s="180"/>
      <c r="H186" s="180"/>
      <c r="I186" s="180"/>
      <c r="J186" s="180"/>
      <c r="K186" s="180"/>
      <c r="L186" s="180"/>
      <c r="M186" s="180"/>
      <c r="N186" s="180"/>
    </row>
    <row r="187" spans="1:14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</row>
    <row r="188" spans="1:14" x14ac:dyDescent="0.2">
      <c r="A188" s="180"/>
      <c r="B188" s="192" t="s">
        <v>757</v>
      </c>
      <c r="C188" s="180"/>
      <c r="D188" s="180" t="s">
        <v>759</v>
      </c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</row>
    <row r="189" spans="1:14" ht="31.5" customHeight="1" x14ac:dyDescent="0.2">
      <c r="A189" s="180"/>
      <c r="B189" s="192" t="s">
        <v>758</v>
      </c>
      <c r="C189" s="180"/>
      <c r="D189" s="799" t="s">
        <v>760</v>
      </c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</row>
    <row r="190" spans="1:14" ht="14.25" x14ac:dyDescent="0.2">
      <c r="A190" s="180"/>
      <c r="B190" s="183">
        <f>F186</f>
        <v>238.24</v>
      </c>
      <c r="C190" s="183" t="s">
        <v>22</v>
      </c>
      <c r="D190" s="183">
        <f>D27</f>
        <v>1</v>
      </c>
      <c r="E190" s="184" t="s">
        <v>23</v>
      </c>
      <c r="F190" s="184">
        <f>ROUND(B190*D190,2)</f>
        <v>238.24</v>
      </c>
      <c r="G190" s="180"/>
      <c r="H190" s="180"/>
      <c r="I190" s="180"/>
      <c r="J190" s="180"/>
      <c r="K190" s="180"/>
      <c r="L190" s="180"/>
      <c r="M190" s="180"/>
      <c r="N190" s="180"/>
    </row>
    <row r="191" spans="1:14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</row>
    <row r="192" spans="1:14" ht="14.25" x14ac:dyDescent="0.2">
      <c r="A192" s="189"/>
      <c r="B192" s="200" t="s">
        <v>54</v>
      </c>
      <c r="C192" s="201">
        <f>F190</f>
        <v>238.24</v>
      </c>
      <c r="D192" s="202" t="s">
        <v>13</v>
      </c>
      <c r="E192" s="189"/>
      <c r="F192" s="189"/>
      <c r="G192" s="180"/>
      <c r="H192" s="180"/>
      <c r="I192" s="180"/>
      <c r="J192" s="180"/>
      <c r="K192" s="180"/>
      <c r="L192" s="180"/>
      <c r="M192" s="180"/>
      <c r="N192" s="180"/>
    </row>
    <row r="193" spans="1:14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</row>
    <row r="194" spans="1:14" ht="36" customHeight="1" x14ac:dyDescent="0.2">
      <c r="A194" s="181" t="str">
        <f>ORÇAMENTO!A172</f>
        <v>9.2.2</v>
      </c>
      <c r="B194" s="1256" t="str">
        <f>ORÇAMENTO!D172</f>
        <v>FLANGE EM CHAPA DE AÇO GALVANIZADO DE BITOLA GSG 14, E = 1,95 MM (15,60 KG/M2), COM CHUMBADOR DE AÇO 1" X 60 MM, INCLUINDO PORCA E ARRUELA</v>
      </c>
      <c r="C194" s="1256"/>
      <c r="D194" s="1256"/>
      <c r="E194" s="1256"/>
      <c r="F194" s="1256"/>
      <c r="G194" s="1256"/>
      <c r="H194" s="1256"/>
      <c r="I194" s="1256"/>
      <c r="J194" s="1256"/>
      <c r="K194" s="1256"/>
      <c r="L194" s="1256"/>
      <c r="M194" s="182"/>
      <c r="N194" s="180"/>
    </row>
    <row r="195" spans="1:14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</row>
    <row r="196" spans="1:14" x14ac:dyDescent="0.2">
      <c r="A196" s="180"/>
      <c r="B196" s="192" t="s">
        <v>757</v>
      </c>
      <c r="C196" s="180"/>
      <c r="D196" s="180" t="s">
        <v>759</v>
      </c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</row>
    <row r="197" spans="1:14" x14ac:dyDescent="0.2">
      <c r="A197" s="180"/>
      <c r="B197" s="192" t="s">
        <v>758</v>
      </c>
      <c r="C197" s="180"/>
      <c r="D197" s="180" t="s">
        <v>760</v>
      </c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</row>
    <row r="198" spans="1:14" ht="14.25" x14ac:dyDescent="0.2">
      <c r="A198" s="180"/>
      <c r="B198" s="183">
        <v>16</v>
      </c>
      <c r="C198" s="183" t="s">
        <v>22</v>
      </c>
      <c r="D198" s="183">
        <f>D27</f>
        <v>1</v>
      </c>
      <c r="E198" s="184" t="s">
        <v>23</v>
      </c>
      <c r="F198" s="184">
        <f>ROUND(B198*D198,2)</f>
        <v>16</v>
      </c>
      <c r="G198" s="180"/>
      <c r="H198" s="180"/>
      <c r="I198" s="180"/>
      <c r="J198" s="180"/>
      <c r="K198" s="180"/>
      <c r="L198" s="180"/>
      <c r="M198" s="180"/>
      <c r="N198" s="180"/>
    </row>
    <row r="199" spans="1:14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</row>
    <row r="200" spans="1:14" ht="14.25" x14ac:dyDescent="0.2">
      <c r="A200" s="189"/>
      <c r="B200" s="200" t="s">
        <v>54</v>
      </c>
      <c r="C200" s="201">
        <f>F198</f>
        <v>16</v>
      </c>
      <c r="D200" s="202" t="s">
        <v>11</v>
      </c>
      <c r="E200" s="189"/>
      <c r="F200" s="189"/>
      <c r="G200" s="189"/>
      <c r="H200" s="189"/>
      <c r="I200" s="189"/>
      <c r="J200" s="189"/>
      <c r="K200" s="180"/>
      <c r="L200" s="180"/>
      <c r="M200" s="180"/>
      <c r="N200" s="180"/>
    </row>
    <row r="201" spans="1:14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</row>
    <row r="202" spans="1:14" ht="20.25" customHeight="1" x14ac:dyDescent="0.2">
      <c r="A202" s="181" t="str">
        <f>ORÇAMENTO!A173</f>
        <v>9.3</v>
      </c>
      <c r="B202" s="1256" t="str">
        <f>ORÇAMENTO!D173</f>
        <v>REVESTIMENTO E PINTURA DOS BLOCOS</v>
      </c>
      <c r="C202" s="1256"/>
      <c r="D202" s="1256"/>
      <c r="E202" s="1256"/>
      <c r="F202" s="1256"/>
      <c r="G202" s="1256"/>
      <c r="H202" s="1256"/>
      <c r="I202" s="1256"/>
      <c r="J202" s="1256"/>
      <c r="K202" s="1256"/>
      <c r="L202" s="1256"/>
      <c r="M202" s="182"/>
      <c r="N202" s="180"/>
    </row>
    <row r="203" spans="1:14" ht="15" customHeight="1" x14ac:dyDescent="0.2">
      <c r="A203" s="181" t="str">
        <f>ORÇAMENTO!A174</f>
        <v>9.3.1</v>
      </c>
      <c r="B203" s="188" t="str">
        <f>ORÇAMENTO!D174</f>
        <v>IMPERMEABILIZACAO DE ESTRUTURAS ENTERRADAS, COM TINTA ASFALTICA, DUAS DEMAOS.</v>
      </c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2"/>
      <c r="N203" s="180"/>
    </row>
    <row r="204" spans="1:14" ht="15" x14ac:dyDescent="0.2">
      <c r="A204" s="203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182"/>
      <c r="N204" s="180"/>
    </row>
    <row r="205" spans="1:14" ht="14.25" x14ac:dyDescent="0.2">
      <c r="A205" s="189"/>
      <c r="B205" s="189" t="s">
        <v>448</v>
      </c>
      <c r="C205" s="189"/>
      <c r="D205" s="189"/>
      <c r="E205" s="189"/>
      <c r="F205" s="189"/>
      <c r="G205" s="189"/>
      <c r="H205" s="189"/>
      <c r="I205" s="180"/>
      <c r="J205" s="180"/>
      <c r="K205" s="180"/>
      <c r="L205" s="180"/>
      <c r="M205" s="180"/>
      <c r="N205" s="180"/>
    </row>
    <row r="206" spans="1:14" ht="14.25" x14ac:dyDescent="0.2">
      <c r="A206" s="189"/>
      <c r="B206" s="189"/>
      <c r="C206" s="189" t="s">
        <v>151</v>
      </c>
      <c r="D206" s="189"/>
      <c r="E206" s="189" t="s">
        <v>74</v>
      </c>
      <c r="F206" s="189"/>
      <c r="G206" s="190" t="s">
        <v>436</v>
      </c>
      <c r="H206" s="189"/>
      <c r="I206" s="180"/>
      <c r="J206" s="180"/>
      <c r="K206" s="180"/>
      <c r="L206" s="180"/>
      <c r="M206" s="180"/>
      <c r="N206" s="180"/>
    </row>
    <row r="207" spans="1:14" ht="14.25" x14ac:dyDescent="0.2">
      <c r="A207" s="189"/>
      <c r="B207" s="190" t="s">
        <v>54</v>
      </c>
      <c r="C207" s="191">
        <v>0.52</v>
      </c>
      <c r="D207" s="191" t="s">
        <v>22</v>
      </c>
      <c r="E207" s="191">
        <f>E158</f>
        <v>0.75</v>
      </c>
      <c r="F207" s="190" t="s">
        <v>22</v>
      </c>
      <c r="G207" s="193">
        <f>E162</f>
        <v>10</v>
      </c>
      <c r="H207" s="190" t="s">
        <v>23</v>
      </c>
      <c r="I207" s="193">
        <f>ROUND((C207*E207*G207),2)</f>
        <v>3.9</v>
      </c>
      <c r="J207" s="180"/>
      <c r="K207" s="180"/>
      <c r="L207" s="180"/>
      <c r="M207" s="180"/>
      <c r="N207" s="180"/>
    </row>
    <row r="208" spans="1:14" ht="14.25" x14ac:dyDescent="0.2">
      <c r="A208" s="189"/>
      <c r="B208" s="189"/>
      <c r="C208" s="189"/>
      <c r="D208" s="189"/>
      <c r="E208" s="189"/>
      <c r="F208" s="189"/>
      <c r="G208" s="189"/>
      <c r="H208" s="189"/>
      <c r="I208" s="180"/>
      <c r="J208" s="180"/>
      <c r="K208" s="180"/>
      <c r="L208" s="180"/>
      <c r="M208" s="180"/>
      <c r="N208" s="180"/>
    </row>
    <row r="209" spans="1:14" x14ac:dyDescent="0.2">
      <c r="A209" s="180"/>
      <c r="B209" s="192" t="s">
        <v>757</v>
      </c>
      <c r="C209" s="180"/>
      <c r="D209" s="180" t="s">
        <v>759</v>
      </c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</row>
    <row r="210" spans="1:14" x14ac:dyDescent="0.2">
      <c r="A210" s="180"/>
      <c r="B210" s="192" t="s">
        <v>758</v>
      </c>
      <c r="C210" s="180"/>
      <c r="D210" s="180" t="s">
        <v>760</v>
      </c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</row>
    <row r="211" spans="1:14" ht="14.25" x14ac:dyDescent="0.2">
      <c r="A211" s="180"/>
      <c r="B211" s="183">
        <f>I207</f>
        <v>3.9</v>
      </c>
      <c r="C211" s="183" t="s">
        <v>22</v>
      </c>
      <c r="D211" s="183">
        <f>D27</f>
        <v>1</v>
      </c>
      <c r="E211" s="184" t="s">
        <v>23</v>
      </c>
      <c r="F211" s="184">
        <f>ROUND(B211*D211,2)</f>
        <v>3.9</v>
      </c>
      <c r="G211" s="180"/>
      <c r="H211" s="180"/>
      <c r="I211" s="180"/>
      <c r="J211" s="180"/>
      <c r="K211" s="180"/>
      <c r="L211" s="180"/>
      <c r="M211" s="180"/>
      <c r="N211" s="180"/>
    </row>
    <row r="212" spans="1:14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</row>
    <row r="213" spans="1:14" ht="14.25" x14ac:dyDescent="0.2">
      <c r="A213" s="189"/>
      <c r="B213" s="200" t="s">
        <v>54</v>
      </c>
      <c r="C213" s="201">
        <f>F211</f>
        <v>3.9</v>
      </c>
      <c r="D213" s="202" t="s">
        <v>4</v>
      </c>
      <c r="E213" s="189"/>
      <c r="F213" s="189"/>
      <c r="G213" s="189"/>
      <c r="H213" s="189"/>
      <c r="I213" s="180"/>
      <c r="J213" s="180"/>
      <c r="K213" s="180"/>
      <c r="L213" s="180"/>
      <c r="M213" s="180"/>
      <c r="N213" s="180"/>
    </row>
    <row r="214" spans="1:14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</row>
    <row r="215" spans="1:14" ht="34.5" customHeight="1" x14ac:dyDescent="0.2">
      <c r="A215" s="181" t="str">
        <f>ORÇAMENTO!A175</f>
        <v>9.3.2</v>
      </c>
      <c r="B215" s="1256" t="str">
        <f>ORÇAMENTO!D175</f>
        <v>CHAPISCO APLICADO EM ALVENARIA (SEM PRESENÇA DE VÃOS) E ESTRUTURAS DE CONCRETO DE FACHADA, COM COLHER DE PEDREIRO.  ARGAMASSA TRAÇO 1:3 COM PREPARO MANUAL. AF_06/2014</v>
      </c>
      <c r="C215" s="1256"/>
      <c r="D215" s="1256"/>
      <c r="E215" s="1256"/>
      <c r="F215" s="1256"/>
      <c r="G215" s="1256"/>
      <c r="H215" s="1256"/>
      <c r="I215" s="1256"/>
      <c r="J215" s="1256"/>
      <c r="K215" s="1256"/>
      <c r="L215" s="1256"/>
      <c r="M215" s="182"/>
      <c r="N215" s="180"/>
    </row>
    <row r="216" spans="1:14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</row>
    <row r="217" spans="1:14" ht="15" x14ac:dyDescent="0.25">
      <c r="A217" s="180"/>
      <c r="B217" s="1265" t="s">
        <v>449</v>
      </c>
      <c r="C217" s="1265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</row>
    <row r="218" spans="1:14" ht="16.5" x14ac:dyDescent="0.35">
      <c r="A218" s="180"/>
      <c r="B218" s="214" t="s">
        <v>450</v>
      </c>
      <c r="C218" s="189"/>
      <c r="D218" s="189"/>
      <c r="E218" s="189"/>
      <c r="F218" s="180"/>
      <c r="G218" s="180"/>
      <c r="H218" s="180"/>
      <c r="I218" s="180"/>
      <c r="J218" s="180"/>
      <c r="K218" s="180"/>
      <c r="L218" s="180"/>
      <c r="M218" s="180"/>
      <c r="N218" s="180"/>
    </row>
    <row r="219" spans="1:14" ht="14.25" x14ac:dyDescent="0.2">
      <c r="A219" s="180"/>
      <c r="B219" s="189"/>
      <c r="C219" s="191" t="s">
        <v>75</v>
      </c>
      <c r="D219" s="191"/>
      <c r="E219" s="191" t="s">
        <v>74</v>
      </c>
      <c r="F219" s="180"/>
      <c r="G219" s="191" t="s">
        <v>394</v>
      </c>
      <c r="H219" s="180"/>
      <c r="I219" s="193"/>
      <c r="J219" s="180"/>
      <c r="K219" s="180"/>
      <c r="L219" s="180"/>
      <c r="M219" s="180"/>
      <c r="N219" s="180"/>
    </row>
    <row r="220" spans="1:14" ht="14.25" x14ac:dyDescent="0.2">
      <c r="A220" s="180"/>
      <c r="B220" s="190" t="s">
        <v>54</v>
      </c>
      <c r="C220" s="191">
        <v>0.45</v>
      </c>
      <c r="D220" s="191" t="s">
        <v>22</v>
      </c>
      <c r="E220" s="191">
        <v>0.75</v>
      </c>
      <c r="F220" s="192" t="s">
        <v>22</v>
      </c>
      <c r="G220" s="193">
        <v>1</v>
      </c>
      <c r="H220" s="190" t="s">
        <v>23</v>
      </c>
      <c r="I220" s="193">
        <f>ROUND((C220*E220*G220),2)</f>
        <v>0.34</v>
      </c>
      <c r="J220" s="180"/>
      <c r="K220" s="180"/>
      <c r="L220" s="180"/>
      <c r="M220" s="180"/>
      <c r="N220" s="180"/>
    </row>
    <row r="221" spans="1:14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</row>
    <row r="222" spans="1:14" ht="16.5" x14ac:dyDescent="0.35">
      <c r="A222" s="180"/>
      <c r="B222" s="215" t="s">
        <v>451</v>
      </c>
      <c r="C222" s="189"/>
      <c r="D222" s="189"/>
      <c r="E222" s="189"/>
      <c r="F222" s="180"/>
      <c r="G222" s="180"/>
      <c r="H222" s="180"/>
      <c r="I222" s="180"/>
      <c r="J222" s="180"/>
      <c r="K222" s="180"/>
      <c r="L222" s="180"/>
      <c r="M222" s="180"/>
      <c r="N222" s="180"/>
    </row>
    <row r="223" spans="1:14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</row>
    <row r="224" spans="1:14" x14ac:dyDescent="0.2">
      <c r="A224" s="180"/>
      <c r="B224" s="180" t="s">
        <v>397</v>
      </c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</row>
    <row r="225" spans="1:14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</row>
    <row r="226" spans="1:14" ht="14.25" x14ac:dyDescent="0.2">
      <c r="A226" s="180"/>
      <c r="B226" s="189"/>
      <c r="D226" s="191" t="s">
        <v>230</v>
      </c>
      <c r="E226" s="191"/>
      <c r="F226" s="191" t="s">
        <v>452</v>
      </c>
      <c r="H226" s="180"/>
      <c r="I226" s="191" t="s">
        <v>59</v>
      </c>
      <c r="J226" s="180"/>
      <c r="K226" s="191" t="s">
        <v>394</v>
      </c>
      <c r="M226" s="180"/>
      <c r="N226" s="180"/>
    </row>
    <row r="227" spans="1:14" ht="14.25" x14ac:dyDescent="0.2">
      <c r="A227" s="180"/>
      <c r="B227" s="190" t="s">
        <v>54</v>
      </c>
      <c r="C227" s="216" t="s">
        <v>399</v>
      </c>
      <c r="D227" s="197">
        <v>0.6</v>
      </c>
      <c r="E227" s="196" t="s">
        <v>145</v>
      </c>
      <c r="F227" s="196">
        <v>0.45</v>
      </c>
      <c r="G227" s="216" t="s">
        <v>400</v>
      </c>
      <c r="H227" s="217" t="s">
        <v>22</v>
      </c>
      <c r="I227" s="197">
        <v>0.65</v>
      </c>
      <c r="J227" s="208" t="s">
        <v>22</v>
      </c>
      <c r="K227" s="193">
        <v>2</v>
      </c>
      <c r="L227" s="190" t="s">
        <v>23</v>
      </c>
      <c r="M227" s="193">
        <f>ROUND(((((D227+F227)*I227)/C228)*K227),2)</f>
        <v>0.68</v>
      </c>
    </row>
    <row r="228" spans="1:14" ht="14.25" x14ac:dyDescent="0.2">
      <c r="A228" s="180"/>
      <c r="B228" s="180"/>
      <c r="C228" s="1258">
        <v>2</v>
      </c>
      <c r="D228" s="1258"/>
      <c r="E228" s="1258"/>
      <c r="F228" s="1258"/>
      <c r="G228" s="1258"/>
      <c r="H228" s="1258"/>
      <c r="I228" s="1258"/>
      <c r="J228" s="218"/>
      <c r="K228" s="218"/>
      <c r="L228" s="180"/>
      <c r="M228" s="180"/>
      <c r="N228" s="180"/>
    </row>
    <row r="229" spans="1:14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</row>
    <row r="230" spans="1:14" ht="16.5" x14ac:dyDescent="0.35">
      <c r="A230" s="180"/>
      <c r="B230" s="214" t="s">
        <v>453</v>
      </c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</row>
    <row r="231" spans="1:14" ht="14.25" x14ac:dyDescent="0.2">
      <c r="A231" s="180"/>
      <c r="B231" s="189"/>
      <c r="C231" s="191" t="s">
        <v>75</v>
      </c>
      <c r="D231" s="191"/>
      <c r="E231" s="191" t="s">
        <v>74</v>
      </c>
      <c r="F231" s="180"/>
      <c r="G231" s="191" t="s">
        <v>394</v>
      </c>
      <c r="H231" s="180"/>
      <c r="I231" s="193"/>
      <c r="J231" s="180"/>
      <c r="K231" s="180"/>
      <c r="L231" s="180"/>
      <c r="M231" s="180"/>
      <c r="N231" s="180"/>
    </row>
    <row r="232" spans="1:14" ht="14.25" x14ac:dyDescent="0.2">
      <c r="A232" s="180"/>
      <c r="B232" s="190" t="s">
        <v>54</v>
      </c>
      <c r="C232" s="191">
        <v>0.62</v>
      </c>
      <c r="D232" s="191" t="s">
        <v>22</v>
      </c>
      <c r="E232" s="191">
        <v>0.75</v>
      </c>
      <c r="F232" s="192" t="s">
        <v>22</v>
      </c>
      <c r="G232" s="193">
        <v>1</v>
      </c>
      <c r="H232" s="190" t="s">
        <v>23</v>
      </c>
      <c r="I232" s="193">
        <f>ROUND((C232*E232*G232),2)</f>
        <v>0.47</v>
      </c>
      <c r="J232" s="180"/>
      <c r="K232" s="180"/>
      <c r="L232" s="180"/>
      <c r="M232" s="180"/>
      <c r="N232" s="180"/>
    </row>
    <row r="233" spans="1:14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</row>
    <row r="234" spans="1:14" ht="14.25" x14ac:dyDescent="0.2">
      <c r="A234" s="180"/>
      <c r="B234" s="189" t="s">
        <v>454</v>
      </c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</row>
    <row r="235" spans="1:14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</row>
    <row r="236" spans="1:14" ht="14.25" x14ac:dyDescent="0.2">
      <c r="A236" s="180"/>
      <c r="B236" s="192" t="s">
        <v>54</v>
      </c>
      <c r="C236" s="193">
        <f>I220</f>
        <v>0.34</v>
      </c>
      <c r="D236" s="193" t="s">
        <v>145</v>
      </c>
      <c r="E236" s="193">
        <f>M227</f>
        <v>0.68</v>
      </c>
      <c r="F236" s="193" t="s">
        <v>145</v>
      </c>
      <c r="G236" s="193">
        <f>I232</f>
        <v>0.47</v>
      </c>
      <c r="H236" s="193" t="s">
        <v>23</v>
      </c>
      <c r="I236" s="193">
        <f>C236+E236+G236</f>
        <v>1.49</v>
      </c>
      <c r="J236" s="180"/>
      <c r="K236" s="180"/>
      <c r="L236" s="180"/>
      <c r="M236" s="180"/>
      <c r="N236" s="180"/>
    </row>
    <row r="237" spans="1:14" ht="14.25" x14ac:dyDescent="0.2">
      <c r="A237" s="180"/>
      <c r="B237" s="192"/>
      <c r="C237" s="193"/>
      <c r="D237" s="193"/>
      <c r="E237" s="193"/>
      <c r="F237" s="193"/>
      <c r="G237" s="193"/>
      <c r="H237" s="193"/>
      <c r="I237" s="193"/>
      <c r="J237" s="180"/>
      <c r="K237" s="180"/>
      <c r="L237" s="180"/>
      <c r="M237" s="180"/>
      <c r="N237" s="180"/>
    </row>
    <row r="238" spans="1:14" ht="14.25" x14ac:dyDescent="0.2">
      <c r="A238" s="180"/>
      <c r="B238" s="180"/>
      <c r="C238" s="180"/>
      <c r="D238" s="180"/>
      <c r="E238" s="192" t="s">
        <v>436</v>
      </c>
      <c r="F238" s="180"/>
      <c r="G238" s="180"/>
      <c r="H238" s="193"/>
      <c r="I238" s="193"/>
      <c r="J238" s="180"/>
      <c r="K238" s="180"/>
      <c r="L238" s="180"/>
      <c r="M238" s="180"/>
      <c r="N238" s="180"/>
    </row>
    <row r="239" spans="1:14" ht="14.25" x14ac:dyDescent="0.2">
      <c r="A239" s="180"/>
      <c r="B239" s="192" t="s">
        <v>54</v>
      </c>
      <c r="C239" s="193">
        <f>I236</f>
        <v>1.49</v>
      </c>
      <c r="D239" s="193" t="s">
        <v>22</v>
      </c>
      <c r="E239" s="193">
        <f>G207</f>
        <v>10</v>
      </c>
      <c r="F239" s="192" t="s">
        <v>23</v>
      </c>
      <c r="G239" s="219">
        <f>ROUND((C239*E239),2)</f>
        <v>14.9</v>
      </c>
      <c r="H239" s="193"/>
      <c r="I239" s="193"/>
      <c r="J239" s="180"/>
      <c r="K239" s="180"/>
      <c r="L239" s="180"/>
      <c r="M239" s="180"/>
      <c r="N239" s="180"/>
    </row>
    <row r="240" spans="1:14" ht="14.25" x14ac:dyDescent="0.2">
      <c r="A240" s="180"/>
      <c r="B240" s="180"/>
      <c r="C240" s="180"/>
      <c r="D240" s="180"/>
      <c r="E240" s="180"/>
      <c r="F240" s="180"/>
      <c r="G240" s="180"/>
      <c r="H240" s="193"/>
      <c r="I240" s="193"/>
      <c r="J240" s="180"/>
      <c r="K240" s="180"/>
      <c r="L240" s="180"/>
      <c r="M240" s="180"/>
      <c r="N240" s="180"/>
    </row>
    <row r="241" spans="1:14" ht="15" x14ac:dyDescent="0.25">
      <c r="A241" s="180"/>
      <c r="B241" s="220" t="s">
        <v>455</v>
      </c>
      <c r="C241" s="220"/>
      <c r="D241" s="189"/>
      <c r="E241" s="189"/>
      <c r="F241" s="180"/>
      <c r="G241" s="180"/>
      <c r="H241" s="180"/>
      <c r="I241" s="180"/>
      <c r="J241" s="180"/>
      <c r="K241" s="180"/>
      <c r="L241" s="180"/>
      <c r="M241" s="180"/>
      <c r="N241" s="180"/>
    </row>
    <row r="242" spans="1:14" ht="14.25" x14ac:dyDescent="0.2">
      <c r="A242" s="180"/>
      <c r="B242" s="189"/>
      <c r="C242" s="191" t="s">
        <v>151</v>
      </c>
      <c r="D242" s="191"/>
      <c r="E242" s="191" t="s">
        <v>74</v>
      </c>
      <c r="F242" s="189"/>
      <c r="G242" s="189"/>
      <c r="H242" s="189"/>
      <c r="I242" s="189"/>
      <c r="J242" s="180"/>
      <c r="K242" s="180"/>
      <c r="L242" s="180"/>
      <c r="M242" s="180"/>
      <c r="N242" s="180"/>
    </row>
    <row r="243" spans="1:14" ht="14.25" x14ac:dyDescent="0.2">
      <c r="A243" s="180"/>
      <c r="B243" s="190" t="s">
        <v>54</v>
      </c>
      <c r="C243" s="193">
        <v>0.9</v>
      </c>
      <c r="D243" s="191" t="s">
        <v>22</v>
      </c>
      <c r="E243" s="191">
        <v>0.75</v>
      </c>
      <c r="F243" s="190" t="s">
        <v>23</v>
      </c>
      <c r="G243" s="191">
        <f>ROUND((C243*E243),2)</f>
        <v>0.68</v>
      </c>
      <c r="H243" s="189"/>
      <c r="I243" s="189"/>
      <c r="J243" s="180"/>
      <c r="K243" s="180"/>
      <c r="L243" s="180"/>
      <c r="M243" s="180"/>
      <c r="N243" s="180"/>
    </row>
    <row r="244" spans="1:14" ht="14.25" x14ac:dyDescent="0.2">
      <c r="A244" s="180"/>
      <c r="B244" s="189"/>
      <c r="C244" s="189"/>
      <c r="D244" s="189"/>
      <c r="E244" s="189"/>
      <c r="F244" s="189"/>
      <c r="G244" s="189"/>
      <c r="H244" s="189"/>
      <c r="I244" s="189"/>
      <c r="J244" s="180"/>
      <c r="K244" s="180"/>
      <c r="L244" s="180"/>
      <c r="M244" s="180"/>
      <c r="N244" s="180"/>
    </row>
    <row r="245" spans="1:14" ht="14.25" x14ac:dyDescent="0.2">
      <c r="A245" s="180"/>
      <c r="B245" s="189" t="s">
        <v>456</v>
      </c>
      <c r="C245" s="189"/>
      <c r="D245" s="189"/>
      <c r="E245" s="189"/>
      <c r="F245" s="189"/>
      <c r="G245" s="189"/>
      <c r="H245" s="189"/>
      <c r="I245" s="189"/>
      <c r="J245" s="180"/>
      <c r="K245" s="180"/>
      <c r="L245" s="180"/>
      <c r="M245" s="180"/>
      <c r="N245" s="180"/>
    </row>
    <row r="246" spans="1:14" ht="14.25" x14ac:dyDescent="0.2">
      <c r="A246" s="180"/>
      <c r="B246" s="189"/>
      <c r="C246" s="190" t="s">
        <v>457</v>
      </c>
      <c r="D246" s="189"/>
      <c r="E246" s="191" t="s">
        <v>436</v>
      </c>
      <c r="F246" s="189"/>
      <c r="G246" s="189"/>
      <c r="H246" s="189"/>
      <c r="I246" s="189"/>
      <c r="J246" s="180"/>
      <c r="K246" s="180"/>
      <c r="L246" s="180"/>
      <c r="M246" s="180"/>
      <c r="N246" s="180"/>
    </row>
    <row r="247" spans="1:14" ht="14.25" x14ac:dyDescent="0.2">
      <c r="A247" s="180"/>
      <c r="B247" s="190" t="s">
        <v>54</v>
      </c>
      <c r="C247" s="191">
        <f>G243</f>
        <v>0.68</v>
      </c>
      <c r="D247" s="190" t="s">
        <v>22</v>
      </c>
      <c r="E247" s="193">
        <f>E239</f>
        <v>10</v>
      </c>
      <c r="F247" s="193" t="s">
        <v>23</v>
      </c>
      <c r="G247" s="193">
        <f>ROUND((C247*E247),2)</f>
        <v>6.8</v>
      </c>
      <c r="H247" s="189"/>
      <c r="I247" s="189"/>
      <c r="J247" s="180"/>
      <c r="K247" s="180"/>
      <c r="L247" s="180"/>
      <c r="M247" s="180"/>
      <c r="N247" s="180"/>
    </row>
    <row r="248" spans="1:14" ht="14.25" x14ac:dyDescent="0.2">
      <c r="A248" s="180"/>
      <c r="B248" s="190"/>
      <c r="C248" s="191"/>
      <c r="D248" s="190"/>
      <c r="E248" s="193"/>
      <c r="F248" s="193"/>
      <c r="G248" s="193"/>
      <c r="H248" s="189"/>
      <c r="I248" s="189"/>
      <c r="J248" s="180"/>
      <c r="K248" s="180"/>
      <c r="L248" s="180"/>
      <c r="M248" s="180"/>
      <c r="N248" s="180"/>
    </row>
    <row r="249" spans="1:14" ht="14.25" x14ac:dyDescent="0.2">
      <c r="A249" s="180"/>
      <c r="B249" s="189" t="s">
        <v>458</v>
      </c>
      <c r="C249" s="189"/>
      <c r="D249" s="189"/>
      <c r="E249" s="189"/>
      <c r="F249" s="189"/>
      <c r="G249" s="189"/>
      <c r="H249" s="189"/>
      <c r="I249" s="189"/>
      <c r="J249" s="180"/>
      <c r="K249" s="180"/>
      <c r="L249" s="180"/>
      <c r="M249" s="180"/>
      <c r="N249" s="180"/>
    </row>
    <row r="250" spans="1:14" ht="14.25" x14ac:dyDescent="0.2">
      <c r="A250" s="180"/>
      <c r="B250" s="189"/>
      <c r="C250" s="193" t="s">
        <v>459</v>
      </c>
      <c r="D250" s="189"/>
      <c r="E250" s="193" t="s">
        <v>460</v>
      </c>
      <c r="F250" s="189"/>
      <c r="G250" s="193" t="s">
        <v>436</v>
      </c>
      <c r="H250" s="189"/>
      <c r="I250" s="189"/>
      <c r="J250" s="180"/>
      <c r="K250" s="180"/>
      <c r="L250" s="180"/>
      <c r="M250" s="180"/>
      <c r="N250" s="180"/>
    </row>
    <row r="251" spans="1:14" ht="14.25" x14ac:dyDescent="0.2">
      <c r="A251" s="180"/>
      <c r="B251" s="190" t="s">
        <v>54</v>
      </c>
      <c r="C251" s="193">
        <v>7.0000000000000007E-2</v>
      </c>
      <c r="D251" s="190" t="s">
        <v>22</v>
      </c>
      <c r="E251" s="193">
        <v>1</v>
      </c>
      <c r="F251" s="190" t="s">
        <v>22</v>
      </c>
      <c r="G251" s="193">
        <v>4</v>
      </c>
      <c r="H251" s="190" t="s">
        <v>23</v>
      </c>
      <c r="I251" s="193">
        <f>ROUND((C251*E251*G251),2)</f>
        <v>0.28000000000000003</v>
      </c>
      <c r="J251" s="180"/>
      <c r="K251" s="180"/>
      <c r="L251" s="180"/>
      <c r="M251" s="180"/>
      <c r="N251" s="180"/>
    </row>
    <row r="252" spans="1:14" ht="14.25" x14ac:dyDescent="0.2">
      <c r="A252" s="180"/>
      <c r="B252" s="189"/>
      <c r="C252" s="189"/>
      <c r="D252" s="189"/>
      <c r="E252" s="189"/>
      <c r="F252" s="189"/>
      <c r="G252" s="189"/>
      <c r="H252" s="189"/>
      <c r="I252" s="189"/>
      <c r="J252" s="180"/>
      <c r="K252" s="180"/>
      <c r="L252" s="180"/>
      <c r="M252" s="180"/>
      <c r="N252" s="180"/>
    </row>
    <row r="253" spans="1:14" ht="14.25" x14ac:dyDescent="0.2">
      <c r="A253" s="180"/>
      <c r="B253" s="189"/>
      <c r="C253" s="193" t="s">
        <v>459</v>
      </c>
      <c r="D253" s="189"/>
      <c r="E253" s="193" t="s">
        <v>460</v>
      </c>
      <c r="F253" s="189"/>
      <c r="G253" s="193" t="s">
        <v>436</v>
      </c>
      <c r="H253" s="189"/>
      <c r="I253" s="189"/>
      <c r="J253" s="180"/>
      <c r="K253" s="180"/>
      <c r="L253" s="180"/>
      <c r="M253" s="180"/>
      <c r="N253" s="180"/>
    </row>
    <row r="254" spans="1:14" ht="14.25" x14ac:dyDescent="0.2">
      <c r="A254" s="180"/>
      <c r="B254" s="190" t="s">
        <v>54</v>
      </c>
      <c r="C254" s="193">
        <v>7.0000000000000007E-2</v>
      </c>
      <c r="D254" s="190" t="s">
        <v>22</v>
      </c>
      <c r="E254" s="193">
        <v>2</v>
      </c>
      <c r="F254" s="190" t="s">
        <v>22</v>
      </c>
      <c r="G254" s="193">
        <v>6</v>
      </c>
      <c r="H254" s="190" t="s">
        <v>23</v>
      </c>
      <c r="I254" s="193">
        <f>ROUND((C254*E254*G254),2)</f>
        <v>0.84</v>
      </c>
      <c r="J254" s="180"/>
      <c r="K254" s="180"/>
      <c r="L254" s="180"/>
      <c r="M254" s="180"/>
      <c r="N254" s="180"/>
    </row>
    <row r="255" spans="1:14" ht="14.25" x14ac:dyDescent="0.2">
      <c r="A255" s="180"/>
      <c r="B255" s="189"/>
      <c r="C255" s="189"/>
      <c r="D255" s="189"/>
      <c r="E255" s="189"/>
      <c r="F255" s="189"/>
      <c r="G255" s="189"/>
      <c r="H255" s="189"/>
      <c r="I255" s="189"/>
      <c r="J255" s="180"/>
      <c r="K255" s="180"/>
      <c r="L255" s="180"/>
      <c r="M255" s="180"/>
      <c r="N255" s="180"/>
    </row>
    <row r="256" spans="1:14" ht="14.25" x14ac:dyDescent="0.2">
      <c r="A256" s="180"/>
      <c r="B256" s="180" t="s">
        <v>461</v>
      </c>
      <c r="C256" s="189"/>
      <c r="D256" s="189"/>
      <c r="E256" s="189"/>
      <c r="F256" s="189"/>
      <c r="G256" s="189"/>
      <c r="H256" s="189"/>
      <c r="I256" s="189"/>
      <c r="J256" s="180"/>
      <c r="K256" s="180"/>
      <c r="L256" s="180"/>
      <c r="M256" s="180"/>
      <c r="N256" s="180"/>
    </row>
    <row r="257" spans="1:14" ht="14.25" x14ac:dyDescent="0.2">
      <c r="A257" s="180"/>
      <c r="B257" s="190"/>
      <c r="C257" s="189" t="s">
        <v>133</v>
      </c>
      <c r="D257" s="189"/>
      <c r="E257" s="189" t="s">
        <v>462</v>
      </c>
      <c r="F257" s="189"/>
      <c r="G257" s="189"/>
      <c r="H257" s="189"/>
      <c r="I257" s="189"/>
      <c r="J257" s="180"/>
      <c r="K257" s="180"/>
      <c r="L257" s="180"/>
      <c r="M257" s="180"/>
      <c r="N257" s="180"/>
    </row>
    <row r="258" spans="1:14" ht="14.25" x14ac:dyDescent="0.2">
      <c r="A258" s="180"/>
      <c r="B258" s="190" t="s">
        <v>54</v>
      </c>
      <c r="C258" s="193">
        <f>G247</f>
        <v>6.8</v>
      </c>
      <c r="D258" s="193" t="s">
        <v>150</v>
      </c>
      <c r="E258" s="193">
        <f>I251+I254</f>
        <v>1.1200000000000001</v>
      </c>
      <c r="F258" s="190" t="s">
        <v>23</v>
      </c>
      <c r="G258" s="219">
        <f>C258-E258</f>
        <v>5.68</v>
      </c>
      <c r="H258" s="189"/>
      <c r="I258" s="189"/>
      <c r="J258" s="180"/>
      <c r="K258" s="180"/>
      <c r="L258" s="180"/>
      <c r="M258" s="180"/>
      <c r="N258" s="180"/>
    </row>
    <row r="259" spans="1:14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</row>
    <row r="260" spans="1:14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</row>
    <row r="261" spans="1:14" ht="15" x14ac:dyDescent="0.25">
      <c r="A261" s="180"/>
      <c r="B261" s="220" t="s">
        <v>463</v>
      </c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</row>
    <row r="262" spans="1:14" x14ac:dyDescent="0.2">
      <c r="A262" s="180"/>
      <c r="B262" s="180"/>
      <c r="C262" s="1266" t="s">
        <v>464</v>
      </c>
      <c r="D262" s="1266"/>
      <c r="E262" s="180"/>
      <c r="F262" s="1266" t="s">
        <v>465</v>
      </c>
      <c r="G262" s="1266"/>
      <c r="H262" s="1266"/>
      <c r="I262" s="180"/>
      <c r="J262" s="180"/>
      <c r="K262" s="180"/>
      <c r="L262" s="180"/>
      <c r="M262" s="180"/>
      <c r="N262" s="180"/>
    </row>
    <row r="263" spans="1:14" ht="14.25" x14ac:dyDescent="0.2">
      <c r="A263" s="180"/>
      <c r="B263" s="191" t="s">
        <v>54</v>
      </c>
      <c r="C263" s="1263">
        <f>G239</f>
        <v>14.9</v>
      </c>
      <c r="D263" s="1263"/>
      <c r="E263" s="190" t="s">
        <v>145</v>
      </c>
      <c r="F263" s="1264">
        <f>G258</f>
        <v>5.68</v>
      </c>
      <c r="G263" s="1264"/>
      <c r="H263" s="1264"/>
      <c r="I263" s="192" t="s">
        <v>23</v>
      </c>
      <c r="J263" s="193">
        <f>C263+F263</f>
        <v>20.58</v>
      </c>
      <c r="K263" s="180"/>
      <c r="L263" s="180"/>
      <c r="M263" s="180"/>
      <c r="N263" s="180"/>
    </row>
    <row r="264" spans="1:14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</row>
    <row r="265" spans="1:14" x14ac:dyDescent="0.2">
      <c r="A265" s="180"/>
      <c r="B265" s="192" t="s">
        <v>757</v>
      </c>
      <c r="C265" s="180"/>
      <c r="D265" s="180" t="s">
        <v>759</v>
      </c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</row>
    <row r="266" spans="1:14" x14ac:dyDescent="0.2">
      <c r="A266" s="180"/>
      <c r="B266" s="192" t="s">
        <v>758</v>
      </c>
      <c r="C266" s="180"/>
      <c r="D266" s="180" t="s">
        <v>760</v>
      </c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</row>
    <row r="267" spans="1:14" ht="14.25" x14ac:dyDescent="0.2">
      <c r="A267" s="180"/>
      <c r="B267" s="183">
        <f>J263</f>
        <v>20.58</v>
      </c>
      <c r="C267" s="183" t="s">
        <v>22</v>
      </c>
      <c r="D267" s="183">
        <f>D27</f>
        <v>1</v>
      </c>
      <c r="E267" s="184" t="s">
        <v>23</v>
      </c>
      <c r="F267" s="184">
        <f>ROUND(B267*D267,2)</f>
        <v>20.58</v>
      </c>
      <c r="G267" s="180"/>
      <c r="H267" s="180"/>
      <c r="I267" s="180"/>
      <c r="J267" s="180"/>
      <c r="K267" s="180"/>
      <c r="L267" s="180"/>
      <c r="M267" s="180"/>
      <c r="N267" s="180"/>
    </row>
    <row r="268" spans="1:14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</row>
    <row r="269" spans="1:14" ht="14.25" x14ac:dyDescent="0.2">
      <c r="A269" s="180"/>
      <c r="B269" s="200" t="s">
        <v>54</v>
      </c>
      <c r="C269" s="201">
        <f>F267</f>
        <v>20.58</v>
      </c>
      <c r="D269" s="202" t="s">
        <v>4</v>
      </c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</row>
    <row r="270" spans="1:14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</row>
    <row r="271" spans="1:14" ht="34.5" customHeight="1" x14ac:dyDescent="0.2">
      <c r="A271" s="181" t="str">
        <f>ORÇAMENTO!A176</f>
        <v>9.3.3</v>
      </c>
      <c r="B271" s="1256" t="str">
        <f>ORÇAMENTO!D176</f>
        <v>EMBOÇO OU MASSA ÚNICA EM ARGAMASSA TRAÇO 1:2:8, PREPARO MECÂNICO COM BETONEIRA 400 L, APLICADA MANUALMENTE EM PANOS CEGOS DE FACHADA (SEM PRESENÇA DE VÃOS), ESPESSURA DE 25 MM. AF_06/2014</v>
      </c>
      <c r="C271" s="1256"/>
      <c r="D271" s="1256"/>
      <c r="E271" s="1256"/>
      <c r="F271" s="1256"/>
      <c r="G271" s="1256"/>
      <c r="H271" s="1256"/>
      <c r="I271" s="1256"/>
      <c r="J271" s="1256"/>
      <c r="K271" s="1256"/>
      <c r="L271" s="1256"/>
      <c r="M271" s="182"/>
      <c r="N271" s="180"/>
    </row>
    <row r="272" spans="1:14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</row>
    <row r="273" spans="1:14" ht="15" x14ac:dyDescent="0.25">
      <c r="A273" s="180"/>
      <c r="B273" s="1265" t="s">
        <v>449</v>
      </c>
      <c r="C273" s="1265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</row>
    <row r="274" spans="1:14" ht="16.5" x14ac:dyDescent="0.35">
      <c r="A274" s="180"/>
      <c r="B274" s="214" t="s">
        <v>450</v>
      </c>
      <c r="C274" s="189"/>
      <c r="D274" s="189"/>
      <c r="E274" s="189"/>
      <c r="F274" s="180"/>
      <c r="G274" s="180"/>
      <c r="H274" s="180"/>
      <c r="I274" s="180"/>
      <c r="J274" s="180"/>
      <c r="K274" s="180"/>
      <c r="L274" s="180"/>
      <c r="M274" s="180"/>
      <c r="N274" s="180"/>
    </row>
    <row r="275" spans="1:14" ht="14.25" x14ac:dyDescent="0.2">
      <c r="A275" s="180"/>
      <c r="B275" s="189"/>
      <c r="C275" s="191" t="s">
        <v>75</v>
      </c>
      <c r="D275" s="191"/>
      <c r="E275" s="191" t="s">
        <v>74</v>
      </c>
      <c r="F275" s="180"/>
      <c r="G275" s="191" t="s">
        <v>394</v>
      </c>
      <c r="H275" s="180"/>
      <c r="I275" s="193"/>
      <c r="J275" s="180"/>
      <c r="K275" s="180"/>
      <c r="L275" s="180"/>
      <c r="M275" s="180"/>
      <c r="N275" s="180"/>
    </row>
    <row r="276" spans="1:14" ht="14.25" x14ac:dyDescent="0.2">
      <c r="A276" s="180"/>
      <c r="B276" s="190" t="s">
        <v>54</v>
      </c>
      <c r="C276" s="191">
        <f>C220</f>
        <v>0.45</v>
      </c>
      <c r="D276" s="191" t="str">
        <f t="shared" ref="D276:G276" si="2">D220</f>
        <v>x</v>
      </c>
      <c r="E276" s="191">
        <f t="shared" si="2"/>
        <v>0.75</v>
      </c>
      <c r="F276" s="191" t="str">
        <f t="shared" si="2"/>
        <v>x</v>
      </c>
      <c r="G276" s="191">
        <f t="shared" si="2"/>
        <v>1</v>
      </c>
      <c r="H276" s="190" t="s">
        <v>23</v>
      </c>
      <c r="I276" s="193">
        <f>ROUND((C276*E276*G276),2)</f>
        <v>0.34</v>
      </c>
      <c r="J276" s="180"/>
      <c r="K276" s="180"/>
      <c r="L276" s="180"/>
      <c r="M276" s="180"/>
      <c r="N276" s="180"/>
    </row>
    <row r="277" spans="1:14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</row>
    <row r="278" spans="1:14" ht="16.5" x14ac:dyDescent="0.35">
      <c r="A278" s="180"/>
      <c r="B278" s="215" t="s">
        <v>451</v>
      </c>
      <c r="C278" s="189"/>
      <c r="D278" s="189"/>
      <c r="E278" s="189"/>
      <c r="F278" s="180"/>
      <c r="G278" s="180"/>
      <c r="H278" s="180"/>
      <c r="I278" s="180"/>
      <c r="J278" s="180"/>
      <c r="K278" s="180"/>
      <c r="L278" s="180"/>
      <c r="M278" s="180"/>
      <c r="N278" s="180"/>
    </row>
    <row r="279" spans="1:14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</row>
    <row r="280" spans="1:14" x14ac:dyDescent="0.2">
      <c r="A280" s="180"/>
      <c r="B280" s="180" t="s">
        <v>397</v>
      </c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</row>
    <row r="281" spans="1:14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</row>
    <row r="282" spans="1:14" ht="14.25" x14ac:dyDescent="0.2">
      <c r="A282" s="180"/>
      <c r="B282" s="189"/>
      <c r="D282" s="191" t="s">
        <v>230</v>
      </c>
      <c r="E282" s="191"/>
      <c r="F282" s="191" t="s">
        <v>452</v>
      </c>
      <c r="H282" s="180"/>
      <c r="I282" s="191" t="s">
        <v>59</v>
      </c>
      <c r="J282" s="180"/>
      <c r="K282" s="191" t="s">
        <v>394</v>
      </c>
      <c r="M282" s="180"/>
      <c r="N282" s="180"/>
    </row>
    <row r="283" spans="1:14" ht="14.25" x14ac:dyDescent="0.2">
      <c r="A283" s="180"/>
      <c r="B283" s="190" t="s">
        <v>54</v>
      </c>
      <c r="C283" s="216" t="s">
        <v>399</v>
      </c>
      <c r="D283" s="197">
        <v>0.6</v>
      </c>
      <c r="E283" s="196" t="s">
        <v>145</v>
      </c>
      <c r="F283" s="196">
        <v>0.45</v>
      </c>
      <c r="G283" s="216" t="s">
        <v>400</v>
      </c>
      <c r="H283" s="217" t="s">
        <v>22</v>
      </c>
      <c r="I283" s="197">
        <v>0.65</v>
      </c>
      <c r="J283" s="208" t="s">
        <v>22</v>
      </c>
      <c r="K283" s="193">
        <v>2</v>
      </c>
      <c r="L283" s="190" t="s">
        <v>23</v>
      </c>
      <c r="M283" s="193">
        <f>ROUND(((((D283+F283)*I283)/C284)*K283),2)</f>
        <v>0.68</v>
      </c>
    </row>
    <row r="284" spans="1:14" ht="14.25" x14ac:dyDescent="0.2">
      <c r="A284" s="180"/>
      <c r="B284" s="180"/>
      <c r="C284" s="1258">
        <v>2</v>
      </c>
      <c r="D284" s="1258"/>
      <c r="E284" s="1258"/>
      <c r="F284" s="1258"/>
      <c r="G284" s="1258"/>
      <c r="H284" s="1258"/>
      <c r="I284" s="1258"/>
      <c r="J284" s="218"/>
      <c r="K284" s="218"/>
      <c r="L284" s="180"/>
      <c r="M284" s="180"/>
      <c r="N284" s="180"/>
    </row>
    <row r="285" spans="1:14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</row>
    <row r="286" spans="1:14" ht="16.5" x14ac:dyDescent="0.35">
      <c r="A286" s="180"/>
      <c r="B286" s="214" t="s">
        <v>453</v>
      </c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</row>
    <row r="287" spans="1:14" ht="14.25" x14ac:dyDescent="0.2">
      <c r="A287" s="180"/>
      <c r="B287" s="189"/>
      <c r="C287" s="191" t="s">
        <v>75</v>
      </c>
      <c r="D287" s="191"/>
      <c r="E287" s="191" t="s">
        <v>74</v>
      </c>
      <c r="F287" s="180"/>
      <c r="G287" s="191" t="s">
        <v>394</v>
      </c>
      <c r="H287" s="180"/>
      <c r="I287" s="193"/>
      <c r="J287" s="180"/>
      <c r="K287" s="180"/>
      <c r="L287" s="180"/>
      <c r="M287" s="180"/>
      <c r="N287" s="180"/>
    </row>
    <row r="288" spans="1:14" ht="14.25" x14ac:dyDescent="0.2">
      <c r="A288" s="180"/>
      <c r="B288" s="190" t="s">
        <v>54</v>
      </c>
      <c r="C288" s="191">
        <v>0.62</v>
      </c>
      <c r="D288" s="191" t="s">
        <v>22</v>
      </c>
      <c r="E288" s="191">
        <v>0.75</v>
      </c>
      <c r="F288" s="192" t="s">
        <v>22</v>
      </c>
      <c r="G288" s="193">
        <v>1</v>
      </c>
      <c r="H288" s="190" t="s">
        <v>23</v>
      </c>
      <c r="I288" s="193">
        <f>ROUND((C288*E288*G288),2)</f>
        <v>0.47</v>
      </c>
      <c r="J288" s="180"/>
      <c r="K288" s="180"/>
      <c r="L288" s="180"/>
      <c r="M288" s="180"/>
      <c r="N288" s="180"/>
    </row>
    <row r="289" spans="1:14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</row>
    <row r="290" spans="1:14" ht="14.25" x14ac:dyDescent="0.2">
      <c r="A290" s="180"/>
      <c r="B290" s="189" t="s">
        <v>454</v>
      </c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</row>
    <row r="291" spans="1:14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</row>
    <row r="292" spans="1:14" ht="14.25" x14ac:dyDescent="0.2">
      <c r="A292" s="180"/>
      <c r="B292" s="192" t="s">
        <v>54</v>
      </c>
      <c r="C292" s="193">
        <f>I276</f>
        <v>0.34</v>
      </c>
      <c r="D292" s="193" t="s">
        <v>145</v>
      </c>
      <c r="E292" s="193">
        <f>M283</f>
        <v>0.68</v>
      </c>
      <c r="F292" s="193" t="s">
        <v>145</v>
      </c>
      <c r="G292" s="193">
        <f>I288</f>
        <v>0.47</v>
      </c>
      <c r="H292" s="193" t="s">
        <v>23</v>
      </c>
      <c r="I292" s="193">
        <f>C292+E292+G292</f>
        <v>1.49</v>
      </c>
      <c r="J292" s="180"/>
      <c r="K292" s="180"/>
      <c r="L292" s="180"/>
      <c r="M292" s="180"/>
      <c r="N292" s="180"/>
    </row>
    <row r="293" spans="1:14" ht="14.25" x14ac:dyDescent="0.2">
      <c r="A293" s="180"/>
      <c r="B293" s="192"/>
      <c r="C293" s="193"/>
      <c r="D293" s="193"/>
      <c r="E293" s="193"/>
      <c r="F293" s="193"/>
      <c r="G293" s="193"/>
      <c r="H293" s="193"/>
      <c r="I293" s="193"/>
      <c r="J293" s="180"/>
      <c r="K293" s="180"/>
      <c r="L293" s="180"/>
      <c r="M293" s="180"/>
      <c r="N293" s="180"/>
    </row>
    <row r="294" spans="1:14" ht="14.25" x14ac:dyDescent="0.2">
      <c r="A294" s="180"/>
      <c r="B294" s="180"/>
      <c r="C294" s="180"/>
      <c r="D294" s="180"/>
      <c r="E294" s="192" t="s">
        <v>436</v>
      </c>
      <c r="F294" s="180"/>
      <c r="G294" s="180"/>
      <c r="H294" s="193"/>
      <c r="I294" s="193"/>
      <c r="J294" s="180"/>
      <c r="K294" s="180"/>
      <c r="L294" s="180"/>
      <c r="M294" s="180"/>
      <c r="N294" s="180"/>
    </row>
    <row r="295" spans="1:14" ht="14.25" x14ac:dyDescent="0.2">
      <c r="A295" s="180"/>
      <c r="B295" s="192" t="s">
        <v>54</v>
      </c>
      <c r="C295" s="193">
        <f>I292</f>
        <v>1.49</v>
      </c>
      <c r="D295" s="193" t="s">
        <v>22</v>
      </c>
      <c r="E295" s="193">
        <f>E247</f>
        <v>10</v>
      </c>
      <c r="F295" s="192" t="s">
        <v>23</v>
      </c>
      <c r="G295" s="219">
        <f>ROUND((C295*E295),2)</f>
        <v>14.9</v>
      </c>
      <c r="H295" s="193"/>
      <c r="I295" s="193"/>
      <c r="J295" s="180"/>
      <c r="K295" s="180"/>
      <c r="L295" s="180"/>
      <c r="M295" s="180"/>
      <c r="N295" s="180"/>
    </row>
    <row r="296" spans="1:14" ht="14.25" x14ac:dyDescent="0.2">
      <c r="A296" s="180"/>
      <c r="B296" s="180"/>
      <c r="C296" s="180"/>
      <c r="D296" s="180"/>
      <c r="E296" s="180"/>
      <c r="F296" s="180"/>
      <c r="G296" s="180"/>
      <c r="H296" s="193"/>
      <c r="I296" s="193"/>
      <c r="J296" s="180"/>
      <c r="K296" s="180"/>
      <c r="L296" s="180"/>
      <c r="M296" s="180"/>
      <c r="N296" s="180"/>
    </row>
    <row r="297" spans="1:14" ht="15" x14ac:dyDescent="0.25">
      <c r="A297" s="180"/>
      <c r="B297" s="220" t="s">
        <v>455</v>
      </c>
      <c r="C297" s="220"/>
      <c r="D297" s="189"/>
      <c r="E297" s="189"/>
      <c r="F297" s="180"/>
      <c r="G297" s="180"/>
      <c r="H297" s="180"/>
      <c r="I297" s="180"/>
      <c r="J297" s="180"/>
      <c r="K297" s="180"/>
      <c r="L297" s="180"/>
      <c r="M297" s="180"/>
      <c r="N297" s="180"/>
    </row>
    <row r="298" spans="1:14" ht="14.25" x14ac:dyDescent="0.2">
      <c r="A298" s="180"/>
      <c r="B298" s="189"/>
      <c r="C298" s="191" t="s">
        <v>151</v>
      </c>
      <c r="D298" s="191"/>
      <c r="E298" s="191" t="s">
        <v>74</v>
      </c>
      <c r="F298" s="189"/>
      <c r="G298" s="189"/>
      <c r="H298" s="189"/>
      <c r="I298" s="189"/>
      <c r="J298" s="180"/>
      <c r="K298" s="180"/>
      <c r="L298" s="180"/>
      <c r="M298" s="180"/>
      <c r="N298" s="180"/>
    </row>
    <row r="299" spans="1:14" ht="14.25" x14ac:dyDescent="0.2">
      <c r="A299" s="180"/>
      <c r="B299" s="190" t="s">
        <v>54</v>
      </c>
      <c r="C299" s="193">
        <v>0.9</v>
      </c>
      <c r="D299" s="191" t="s">
        <v>22</v>
      </c>
      <c r="E299" s="191">
        <v>0.75</v>
      </c>
      <c r="F299" s="190" t="s">
        <v>23</v>
      </c>
      <c r="G299" s="191">
        <f>ROUND((C299*E299),2)</f>
        <v>0.68</v>
      </c>
      <c r="H299" s="189"/>
      <c r="I299" s="189"/>
      <c r="J299" s="180"/>
      <c r="K299" s="180"/>
      <c r="L299" s="180"/>
      <c r="M299" s="180"/>
      <c r="N299" s="180"/>
    </row>
    <row r="300" spans="1:14" ht="14.25" x14ac:dyDescent="0.2">
      <c r="A300" s="180"/>
      <c r="B300" s="189"/>
      <c r="C300" s="189"/>
      <c r="D300" s="189"/>
      <c r="E300" s="189"/>
      <c r="F300" s="189"/>
      <c r="G300" s="189"/>
      <c r="H300" s="189"/>
      <c r="I300" s="189"/>
      <c r="J300" s="180"/>
      <c r="K300" s="180"/>
      <c r="L300" s="180"/>
      <c r="M300" s="180"/>
      <c r="N300" s="180"/>
    </row>
    <row r="301" spans="1:14" ht="14.25" x14ac:dyDescent="0.2">
      <c r="A301" s="180"/>
      <c r="B301" s="189" t="s">
        <v>456</v>
      </c>
      <c r="C301" s="189"/>
      <c r="D301" s="189"/>
      <c r="E301" s="189"/>
      <c r="F301" s="189"/>
      <c r="G301" s="189"/>
      <c r="H301" s="189"/>
      <c r="I301" s="189"/>
      <c r="J301" s="180"/>
      <c r="K301" s="180"/>
      <c r="L301" s="180"/>
      <c r="M301" s="180"/>
      <c r="N301" s="180"/>
    </row>
    <row r="302" spans="1:14" ht="14.25" x14ac:dyDescent="0.2">
      <c r="A302" s="180"/>
      <c r="B302" s="189"/>
      <c r="C302" s="190" t="s">
        <v>457</v>
      </c>
      <c r="D302" s="189"/>
      <c r="E302" s="191" t="s">
        <v>436</v>
      </c>
      <c r="F302" s="189"/>
      <c r="G302" s="189"/>
      <c r="H302" s="189"/>
      <c r="I302" s="189"/>
      <c r="J302" s="180"/>
      <c r="K302" s="180"/>
      <c r="L302" s="180"/>
      <c r="M302" s="180"/>
      <c r="N302" s="180"/>
    </row>
    <row r="303" spans="1:14" ht="14.25" x14ac:dyDescent="0.2">
      <c r="A303" s="180"/>
      <c r="B303" s="190" t="s">
        <v>54</v>
      </c>
      <c r="C303" s="191">
        <f>G299</f>
        <v>0.68</v>
      </c>
      <c r="D303" s="190" t="s">
        <v>22</v>
      </c>
      <c r="E303" s="193">
        <f>E295</f>
        <v>10</v>
      </c>
      <c r="F303" s="193" t="s">
        <v>23</v>
      </c>
      <c r="G303" s="193">
        <f>ROUND((C303*E303),2)</f>
        <v>6.8</v>
      </c>
      <c r="H303" s="189"/>
      <c r="I303" s="189"/>
      <c r="J303" s="180"/>
      <c r="K303" s="180"/>
      <c r="L303" s="180"/>
      <c r="M303" s="180"/>
      <c r="N303" s="180"/>
    </row>
    <row r="304" spans="1:14" ht="14.25" x14ac:dyDescent="0.2">
      <c r="A304" s="180"/>
      <c r="B304" s="190"/>
      <c r="C304" s="191"/>
      <c r="D304" s="190"/>
      <c r="E304" s="193"/>
      <c r="F304" s="193"/>
      <c r="G304" s="193"/>
      <c r="H304" s="189"/>
      <c r="I304" s="189"/>
      <c r="J304" s="180"/>
      <c r="K304" s="180"/>
      <c r="L304" s="180"/>
      <c r="M304" s="180"/>
      <c r="N304" s="180"/>
    </row>
    <row r="305" spans="1:14" ht="14.25" x14ac:dyDescent="0.2">
      <c r="A305" s="180"/>
      <c r="B305" s="189" t="s">
        <v>458</v>
      </c>
      <c r="C305" s="189"/>
      <c r="D305" s="189"/>
      <c r="E305" s="189"/>
      <c r="F305" s="189"/>
      <c r="G305" s="189"/>
      <c r="H305" s="189"/>
      <c r="I305" s="189"/>
      <c r="J305" s="180"/>
      <c r="K305" s="180"/>
      <c r="L305" s="180"/>
      <c r="M305" s="180"/>
      <c r="N305" s="180"/>
    </row>
    <row r="306" spans="1:14" ht="14.25" x14ac:dyDescent="0.2">
      <c r="A306" s="180"/>
      <c r="B306" s="189"/>
      <c r="C306" s="193" t="s">
        <v>459</v>
      </c>
      <c r="D306" s="189"/>
      <c r="E306" s="193" t="s">
        <v>460</v>
      </c>
      <c r="F306" s="189"/>
      <c r="G306" s="193" t="s">
        <v>436</v>
      </c>
      <c r="H306" s="189"/>
      <c r="I306" s="189"/>
      <c r="J306" s="180"/>
      <c r="K306" s="180"/>
      <c r="L306" s="180"/>
      <c r="M306" s="180"/>
      <c r="N306" s="180"/>
    </row>
    <row r="307" spans="1:14" ht="14.25" x14ac:dyDescent="0.2">
      <c r="A307" s="180"/>
      <c r="B307" s="190" t="s">
        <v>54</v>
      </c>
      <c r="C307" s="193">
        <v>7.0000000000000007E-2</v>
      </c>
      <c r="D307" s="190" t="s">
        <v>22</v>
      </c>
      <c r="E307" s="193">
        <v>1</v>
      </c>
      <c r="F307" s="190" t="s">
        <v>22</v>
      </c>
      <c r="G307" s="193">
        <v>4</v>
      </c>
      <c r="H307" s="190" t="s">
        <v>23</v>
      </c>
      <c r="I307" s="193">
        <f>ROUND((C307*E307*G307),2)</f>
        <v>0.28000000000000003</v>
      </c>
      <c r="J307" s="180"/>
      <c r="K307" s="180"/>
      <c r="L307" s="180"/>
      <c r="M307" s="180"/>
      <c r="N307" s="180"/>
    </row>
    <row r="308" spans="1:14" ht="14.25" x14ac:dyDescent="0.2">
      <c r="A308" s="180"/>
      <c r="B308" s="189"/>
      <c r="C308" s="189"/>
      <c r="D308" s="189"/>
      <c r="E308" s="189"/>
      <c r="F308" s="189"/>
      <c r="G308" s="189"/>
      <c r="H308" s="189"/>
      <c r="I308" s="189"/>
      <c r="J308" s="180"/>
      <c r="K308" s="180"/>
      <c r="L308" s="180"/>
      <c r="M308" s="180"/>
      <c r="N308" s="180"/>
    </row>
    <row r="309" spans="1:14" ht="14.25" x14ac:dyDescent="0.2">
      <c r="A309" s="180"/>
      <c r="B309" s="189"/>
      <c r="C309" s="193" t="s">
        <v>459</v>
      </c>
      <c r="D309" s="189"/>
      <c r="E309" s="193" t="s">
        <v>460</v>
      </c>
      <c r="F309" s="189"/>
      <c r="G309" s="193" t="s">
        <v>436</v>
      </c>
      <c r="H309" s="189"/>
      <c r="I309" s="189"/>
      <c r="J309" s="180"/>
      <c r="K309" s="180"/>
      <c r="L309" s="180"/>
      <c r="M309" s="180"/>
      <c r="N309" s="180"/>
    </row>
    <row r="310" spans="1:14" ht="14.25" x14ac:dyDescent="0.2">
      <c r="A310" s="180"/>
      <c r="B310" s="190" t="s">
        <v>54</v>
      </c>
      <c r="C310" s="193">
        <v>7.0000000000000007E-2</v>
      </c>
      <c r="D310" s="190" t="s">
        <v>22</v>
      </c>
      <c r="E310" s="193">
        <v>2</v>
      </c>
      <c r="F310" s="190" t="s">
        <v>22</v>
      </c>
      <c r="G310" s="193">
        <v>6</v>
      </c>
      <c r="H310" s="190" t="s">
        <v>23</v>
      </c>
      <c r="I310" s="193">
        <f>ROUND((C310*E310*G310),2)</f>
        <v>0.84</v>
      </c>
      <c r="J310" s="180"/>
      <c r="K310" s="180"/>
      <c r="L310" s="180"/>
      <c r="M310" s="180"/>
      <c r="N310" s="180"/>
    </row>
    <row r="311" spans="1:14" ht="14.25" x14ac:dyDescent="0.2">
      <c r="A311" s="180"/>
      <c r="B311" s="189"/>
      <c r="C311" s="189"/>
      <c r="D311" s="189"/>
      <c r="E311" s="189"/>
      <c r="F311" s="189"/>
      <c r="G311" s="189"/>
      <c r="H311" s="189"/>
      <c r="I311" s="189"/>
      <c r="J311" s="180"/>
      <c r="K311" s="180"/>
      <c r="L311" s="180"/>
      <c r="M311" s="180"/>
      <c r="N311" s="180"/>
    </row>
    <row r="312" spans="1:14" ht="14.25" x14ac:dyDescent="0.2">
      <c r="A312" s="180"/>
      <c r="B312" s="180" t="s">
        <v>461</v>
      </c>
      <c r="C312" s="189"/>
      <c r="D312" s="189"/>
      <c r="E312" s="189"/>
      <c r="F312" s="189"/>
      <c r="G312" s="189"/>
      <c r="H312" s="189"/>
      <c r="I312" s="189"/>
      <c r="J312" s="180"/>
      <c r="K312" s="180"/>
      <c r="L312" s="180"/>
      <c r="M312" s="180"/>
      <c r="N312" s="180"/>
    </row>
    <row r="313" spans="1:14" ht="14.25" x14ac:dyDescent="0.2">
      <c r="A313" s="180"/>
      <c r="B313" s="190"/>
      <c r="C313" s="189" t="s">
        <v>133</v>
      </c>
      <c r="D313" s="189"/>
      <c r="E313" s="189" t="s">
        <v>462</v>
      </c>
      <c r="F313" s="189"/>
      <c r="G313" s="189"/>
      <c r="H313" s="189"/>
      <c r="I313" s="189"/>
      <c r="J313" s="180"/>
      <c r="K313" s="180"/>
      <c r="L313" s="180"/>
      <c r="M313" s="180"/>
      <c r="N313" s="180"/>
    </row>
    <row r="314" spans="1:14" ht="14.25" x14ac:dyDescent="0.2">
      <c r="A314" s="180"/>
      <c r="B314" s="190" t="s">
        <v>54</v>
      </c>
      <c r="C314" s="193">
        <f>G303</f>
        <v>6.8</v>
      </c>
      <c r="D314" s="193" t="s">
        <v>150</v>
      </c>
      <c r="E314" s="193">
        <f>I307+I310</f>
        <v>1.1200000000000001</v>
      </c>
      <c r="F314" s="190" t="s">
        <v>23</v>
      </c>
      <c r="G314" s="219">
        <f>C314-E314</f>
        <v>5.68</v>
      </c>
      <c r="H314" s="189"/>
      <c r="I314" s="189"/>
      <c r="J314" s="180"/>
      <c r="K314" s="180"/>
      <c r="L314" s="180"/>
      <c r="M314" s="180"/>
      <c r="N314" s="180"/>
    </row>
    <row r="315" spans="1:14" ht="3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</row>
    <row r="316" spans="1:14" ht="2.25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</row>
    <row r="317" spans="1:14" ht="15" x14ac:dyDescent="0.25">
      <c r="A317" s="180"/>
      <c r="B317" s="220" t="s">
        <v>463</v>
      </c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</row>
    <row r="318" spans="1:14" x14ac:dyDescent="0.2">
      <c r="A318" s="180"/>
      <c r="B318" s="180"/>
      <c r="C318" s="1266" t="s">
        <v>464</v>
      </c>
      <c r="D318" s="1266"/>
      <c r="E318" s="180"/>
      <c r="F318" s="1266" t="s">
        <v>465</v>
      </c>
      <c r="G318" s="1266"/>
      <c r="H318" s="1266"/>
      <c r="I318" s="180"/>
      <c r="J318" s="180"/>
      <c r="K318" s="180"/>
      <c r="L318" s="180"/>
      <c r="M318" s="180"/>
      <c r="N318" s="180"/>
    </row>
    <row r="319" spans="1:14" ht="14.25" x14ac:dyDescent="0.2">
      <c r="A319" s="180"/>
      <c r="B319" s="191" t="s">
        <v>54</v>
      </c>
      <c r="C319" s="1263">
        <f>G295</f>
        <v>14.9</v>
      </c>
      <c r="D319" s="1263"/>
      <c r="E319" s="190" t="s">
        <v>145</v>
      </c>
      <c r="F319" s="1264">
        <f>G314</f>
        <v>5.68</v>
      </c>
      <c r="G319" s="1264"/>
      <c r="H319" s="1264"/>
      <c r="I319" s="192" t="s">
        <v>23</v>
      </c>
      <c r="J319" s="193">
        <f>C319+F319</f>
        <v>20.58</v>
      </c>
      <c r="K319" s="180"/>
      <c r="L319" s="180"/>
      <c r="M319" s="180"/>
      <c r="N319" s="180"/>
    </row>
    <row r="320" spans="1:14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</row>
    <row r="321" spans="1:14" x14ac:dyDescent="0.2">
      <c r="A321" s="180"/>
      <c r="B321" s="192" t="s">
        <v>757</v>
      </c>
      <c r="C321" s="180"/>
      <c r="D321" s="180" t="s">
        <v>759</v>
      </c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</row>
    <row r="322" spans="1:14" x14ac:dyDescent="0.2">
      <c r="A322" s="180"/>
      <c r="B322" s="192" t="s">
        <v>758</v>
      </c>
      <c r="C322" s="180"/>
      <c r="D322" s="180" t="s">
        <v>760</v>
      </c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</row>
    <row r="323" spans="1:14" ht="14.25" x14ac:dyDescent="0.2">
      <c r="A323" s="180"/>
      <c r="B323" s="183">
        <f>J319</f>
        <v>20.58</v>
      </c>
      <c r="C323" s="183" t="s">
        <v>22</v>
      </c>
      <c r="D323" s="183">
        <f>D27</f>
        <v>1</v>
      </c>
      <c r="E323" s="184" t="s">
        <v>23</v>
      </c>
      <c r="F323" s="184">
        <f>ROUND(B323*D323,2)</f>
        <v>20.58</v>
      </c>
      <c r="G323" s="180"/>
      <c r="H323" s="180"/>
      <c r="I323" s="180"/>
      <c r="J323" s="180"/>
      <c r="K323" s="180"/>
      <c r="L323" s="180"/>
      <c r="M323" s="180"/>
      <c r="N323" s="180"/>
    </row>
    <row r="324" spans="1:14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</row>
    <row r="325" spans="1:14" ht="14.25" x14ac:dyDescent="0.2">
      <c r="A325" s="180"/>
      <c r="B325" s="200" t="s">
        <v>54</v>
      </c>
      <c r="C325" s="201">
        <f>F323</f>
        <v>20.58</v>
      </c>
      <c r="D325" s="202" t="s">
        <v>4</v>
      </c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</row>
    <row r="326" spans="1:14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</row>
    <row r="327" spans="1:14" ht="15" customHeight="1" x14ac:dyDescent="0.2">
      <c r="A327" s="181" t="str">
        <f>ORÇAMENTO!A177</f>
        <v>9.3.4</v>
      </c>
      <c r="B327" s="222" t="str">
        <f>ORÇAMENTO!D177</f>
        <v>PINTURA ACRILICA EM PISO CIMENTADO DUAS DEMAOS</v>
      </c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182"/>
      <c r="N327" s="180"/>
    </row>
    <row r="328" spans="1:14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</row>
    <row r="329" spans="1:14" ht="15" x14ac:dyDescent="0.25">
      <c r="A329" s="180"/>
      <c r="B329" s="1265" t="s">
        <v>449</v>
      </c>
      <c r="C329" s="1265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</row>
    <row r="330" spans="1:14" ht="16.5" x14ac:dyDescent="0.35">
      <c r="A330" s="180"/>
      <c r="B330" s="214" t="s">
        <v>450</v>
      </c>
      <c r="C330" s="189"/>
      <c r="D330" s="189"/>
      <c r="E330" s="189"/>
      <c r="F330" s="180"/>
      <c r="G330" s="180"/>
      <c r="H330" s="180"/>
      <c r="I330" s="180"/>
      <c r="J330" s="180"/>
      <c r="K330" s="180"/>
      <c r="L330" s="180"/>
      <c r="M330" s="180"/>
      <c r="N330" s="180"/>
    </row>
    <row r="331" spans="1:14" ht="14.25" x14ac:dyDescent="0.2">
      <c r="A331" s="180"/>
      <c r="B331" s="189"/>
      <c r="C331" s="191" t="s">
        <v>75</v>
      </c>
      <c r="D331" s="191"/>
      <c r="E331" s="191" t="s">
        <v>74</v>
      </c>
      <c r="F331" s="180"/>
      <c r="G331" s="191" t="s">
        <v>394</v>
      </c>
      <c r="H331" s="180"/>
      <c r="I331" s="193"/>
      <c r="J331" s="180"/>
      <c r="K331" s="180"/>
      <c r="L331" s="180"/>
      <c r="M331" s="180"/>
      <c r="N331" s="180"/>
    </row>
    <row r="332" spans="1:14" ht="14.25" x14ac:dyDescent="0.2">
      <c r="A332" s="180"/>
      <c r="B332" s="190" t="s">
        <v>54</v>
      </c>
      <c r="C332" s="191">
        <f>C276</f>
        <v>0.45</v>
      </c>
      <c r="D332" s="191" t="str">
        <f t="shared" ref="D332:G332" si="3">D276</f>
        <v>x</v>
      </c>
      <c r="E332" s="191">
        <f t="shared" si="3"/>
        <v>0.75</v>
      </c>
      <c r="F332" s="191" t="str">
        <f t="shared" si="3"/>
        <v>x</v>
      </c>
      <c r="G332" s="191">
        <f t="shared" si="3"/>
        <v>1</v>
      </c>
      <c r="H332" s="190" t="s">
        <v>23</v>
      </c>
      <c r="I332" s="193">
        <f>ROUND((C332*E332*G332),2)</f>
        <v>0.34</v>
      </c>
      <c r="J332" s="180"/>
      <c r="K332" s="180"/>
      <c r="L332" s="180"/>
      <c r="M332" s="180"/>
      <c r="N332" s="180"/>
    </row>
    <row r="333" spans="1:14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</row>
    <row r="334" spans="1:14" ht="16.5" x14ac:dyDescent="0.35">
      <c r="A334" s="180"/>
      <c r="B334" s="215" t="s">
        <v>451</v>
      </c>
      <c r="C334" s="189"/>
      <c r="D334" s="189"/>
      <c r="E334" s="189"/>
      <c r="F334" s="180"/>
      <c r="G334" s="180"/>
      <c r="H334" s="180"/>
      <c r="I334" s="180"/>
      <c r="J334" s="180"/>
      <c r="K334" s="180"/>
      <c r="L334" s="180"/>
      <c r="M334" s="180"/>
      <c r="N334" s="180"/>
    </row>
    <row r="335" spans="1:14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</row>
    <row r="336" spans="1:14" x14ac:dyDescent="0.2">
      <c r="A336" s="180"/>
      <c r="B336" s="180" t="s">
        <v>397</v>
      </c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</row>
    <row r="337" spans="1:14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</row>
    <row r="338" spans="1:14" ht="14.25" x14ac:dyDescent="0.2">
      <c r="A338" s="180"/>
      <c r="B338" s="189"/>
      <c r="D338" s="191" t="s">
        <v>230</v>
      </c>
      <c r="E338" s="191"/>
      <c r="F338" s="191" t="s">
        <v>452</v>
      </c>
      <c r="H338" s="180"/>
      <c r="I338" s="191" t="s">
        <v>59</v>
      </c>
      <c r="J338" s="180"/>
      <c r="K338" s="191" t="s">
        <v>394</v>
      </c>
      <c r="M338" s="180"/>
      <c r="N338" s="180"/>
    </row>
    <row r="339" spans="1:14" ht="14.25" x14ac:dyDescent="0.2">
      <c r="A339" s="180"/>
      <c r="B339" s="190" t="s">
        <v>54</v>
      </c>
      <c r="C339" s="216" t="s">
        <v>399</v>
      </c>
      <c r="D339" s="197">
        <v>0.6</v>
      </c>
      <c r="E339" s="196" t="s">
        <v>145</v>
      </c>
      <c r="F339" s="196">
        <v>0.45</v>
      </c>
      <c r="G339" s="216" t="s">
        <v>400</v>
      </c>
      <c r="H339" s="217" t="s">
        <v>22</v>
      </c>
      <c r="I339" s="197">
        <v>0.65</v>
      </c>
      <c r="J339" s="208" t="s">
        <v>22</v>
      </c>
      <c r="K339" s="193">
        <v>2</v>
      </c>
      <c r="L339" s="190" t="s">
        <v>23</v>
      </c>
      <c r="M339" s="193">
        <f>ROUND(((((D339+F339)*I339)/C340)*K339),2)</f>
        <v>0.68</v>
      </c>
    </row>
    <row r="340" spans="1:14" ht="14.25" x14ac:dyDescent="0.2">
      <c r="A340" s="180"/>
      <c r="B340" s="180"/>
      <c r="C340" s="1258">
        <v>2</v>
      </c>
      <c r="D340" s="1258"/>
      <c r="E340" s="1258"/>
      <c r="F340" s="1258"/>
      <c r="G340" s="1258"/>
      <c r="H340" s="1258"/>
      <c r="I340" s="1258"/>
      <c r="J340" s="218"/>
      <c r="K340" s="218"/>
      <c r="L340" s="180"/>
      <c r="M340" s="180"/>
      <c r="N340" s="180"/>
    </row>
    <row r="341" spans="1:14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</row>
    <row r="342" spans="1:14" ht="16.5" x14ac:dyDescent="0.35">
      <c r="A342" s="180"/>
      <c r="B342" s="214" t="s">
        <v>453</v>
      </c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</row>
    <row r="343" spans="1:14" ht="14.25" x14ac:dyDescent="0.2">
      <c r="A343" s="180"/>
      <c r="B343" s="189"/>
      <c r="C343" s="191" t="s">
        <v>75</v>
      </c>
      <c r="D343" s="191"/>
      <c r="E343" s="191" t="s">
        <v>74</v>
      </c>
      <c r="F343" s="180"/>
      <c r="G343" s="191" t="s">
        <v>394</v>
      </c>
      <c r="H343" s="180"/>
      <c r="I343" s="193"/>
      <c r="J343" s="180"/>
      <c r="K343" s="180"/>
      <c r="L343" s="180"/>
      <c r="M343" s="180"/>
      <c r="N343" s="180"/>
    </row>
    <row r="344" spans="1:14" ht="14.25" x14ac:dyDescent="0.2">
      <c r="A344" s="180"/>
      <c r="B344" s="190" t="s">
        <v>54</v>
      </c>
      <c r="C344" s="191">
        <v>0.62</v>
      </c>
      <c r="D344" s="191" t="s">
        <v>22</v>
      </c>
      <c r="E344" s="191">
        <v>0.75</v>
      </c>
      <c r="F344" s="192" t="s">
        <v>22</v>
      </c>
      <c r="G344" s="193">
        <v>1</v>
      </c>
      <c r="H344" s="190" t="s">
        <v>23</v>
      </c>
      <c r="I344" s="193">
        <f>ROUND((C344*E344*G344),2)</f>
        <v>0.47</v>
      </c>
      <c r="J344" s="180"/>
      <c r="K344" s="180"/>
      <c r="L344" s="180"/>
      <c r="M344" s="180"/>
      <c r="N344" s="180"/>
    </row>
    <row r="345" spans="1:14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</row>
    <row r="346" spans="1:14" ht="14.25" x14ac:dyDescent="0.2">
      <c r="A346" s="180"/>
      <c r="B346" s="189" t="s">
        <v>454</v>
      </c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</row>
    <row r="347" spans="1:14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</row>
    <row r="348" spans="1:14" ht="14.25" x14ac:dyDescent="0.2">
      <c r="A348" s="180"/>
      <c r="B348" s="192" t="s">
        <v>54</v>
      </c>
      <c r="C348" s="193">
        <f>I332</f>
        <v>0.34</v>
      </c>
      <c r="D348" s="193" t="s">
        <v>145</v>
      </c>
      <c r="E348" s="193">
        <f>M339</f>
        <v>0.68</v>
      </c>
      <c r="F348" s="193" t="s">
        <v>145</v>
      </c>
      <c r="G348" s="193">
        <f>I344</f>
        <v>0.47</v>
      </c>
      <c r="H348" s="193" t="s">
        <v>23</v>
      </c>
      <c r="I348" s="193">
        <f>C348+E348+G348</f>
        <v>1.49</v>
      </c>
      <c r="J348" s="180"/>
      <c r="K348" s="180"/>
      <c r="L348" s="180"/>
      <c r="M348" s="180"/>
      <c r="N348" s="180"/>
    </row>
    <row r="349" spans="1:14" ht="14.25" x14ac:dyDescent="0.2">
      <c r="A349" s="180"/>
      <c r="B349" s="192"/>
      <c r="C349" s="193"/>
      <c r="D349" s="193"/>
      <c r="E349" s="193"/>
      <c r="F349" s="193"/>
      <c r="G349" s="193"/>
      <c r="H349" s="193"/>
      <c r="I349" s="193"/>
      <c r="J349" s="180"/>
      <c r="K349" s="180"/>
      <c r="L349" s="180"/>
      <c r="M349" s="180"/>
      <c r="N349" s="180"/>
    </row>
    <row r="350" spans="1:14" ht="14.25" x14ac:dyDescent="0.2">
      <c r="A350" s="180"/>
      <c r="B350" s="180"/>
      <c r="C350" s="180"/>
      <c r="D350" s="180"/>
      <c r="E350" s="192" t="s">
        <v>436</v>
      </c>
      <c r="F350" s="180"/>
      <c r="G350" s="180"/>
      <c r="H350" s="193"/>
      <c r="I350" s="193"/>
      <c r="J350" s="180"/>
      <c r="K350" s="180"/>
      <c r="L350" s="180"/>
      <c r="M350" s="180"/>
      <c r="N350" s="180"/>
    </row>
    <row r="351" spans="1:14" ht="14.25" x14ac:dyDescent="0.2">
      <c r="A351" s="180"/>
      <c r="B351" s="192" t="s">
        <v>54</v>
      </c>
      <c r="C351" s="193">
        <f>I348</f>
        <v>1.49</v>
      </c>
      <c r="D351" s="193" t="s">
        <v>22</v>
      </c>
      <c r="E351" s="193">
        <f>E303</f>
        <v>10</v>
      </c>
      <c r="F351" s="192" t="s">
        <v>23</v>
      </c>
      <c r="G351" s="219">
        <f>ROUND((C351*E351),2)</f>
        <v>14.9</v>
      </c>
      <c r="H351" s="193"/>
      <c r="I351" s="193"/>
      <c r="J351" s="180"/>
      <c r="K351" s="180"/>
      <c r="L351" s="180"/>
      <c r="M351" s="180"/>
      <c r="N351" s="180"/>
    </row>
    <row r="352" spans="1:14" ht="14.25" x14ac:dyDescent="0.2">
      <c r="A352" s="180"/>
      <c r="B352" s="180"/>
      <c r="C352" s="180"/>
      <c r="D352" s="180"/>
      <c r="E352" s="180"/>
      <c r="F352" s="180"/>
      <c r="G352" s="180"/>
      <c r="H352" s="193"/>
      <c r="I352" s="193"/>
      <c r="J352" s="180"/>
      <c r="K352" s="180"/>
      <c r="L352" s="180"/>
      <c r="M352" s="180"/>
      <c r="N352" s="180"/>
    </row>
    <row r="353" spans="1:14" ht="15" x14ac:dyDescent="0.25">
      <c r="A353" s="180"/>
      <c r="B353" s="220" t="s">
        <v>455</v>
      </c>
      <c r="C353" s="220"/>
      <c r="D353" s="189"/>
      <c r="E353" s="189"/>
      <c r="F353" s="180"/>
      <c r="G353" s="180"/>
      <c r="H353" s="180"/>
      <c r="I353" s="180"/>
      <c r="J353" s="180"/>
      <c r="K353" s="180"/>
      <c r="L353" s="180"/>
      <c r="M353" s="180"/>
      <c r="N353" s="180"/>
    </row>
    <row r="354" spans="1:14" ht="14.25" x14ac:dyDescent="0.2">
      <c r="A354" s="180"/>
      <c r="B354" s="189"/>
      <c r="C354" s="191" t="s">
        <v>151</v>
      </c>
      <c r="D354" s="191"/>
      <c r="E354" s="191" t="s">
        <v>74</v>
      </c>
      <c r="F354" s="189"/>
      <c r="G354" s="189"/>
      <c r="H354" s="189"/>
      <c r="I354" s="189"/>
      <c r="J354" s="180"/>
      <c r="K354" s="180"/>
      <c r="L354" s="180"/>
      <c r="M354" s="180"/>
      <c r="N354" s="180"/>
    </row>
    <row r="355" spans="1:14" ht="14.25" x14ac:dyDescent="0.2">
      <c r="A355" s="180"/>
      <c r="B355" s="190" t="s">
        <v>54</v>
      </c>
      <c r="C355" s="193">
        <v>0.9</v>
      </c>
      <c r="D355" s="191" t="s">
        <v>22</v>
      </c>
      <c r="E355" s="191">
        <v>0.75</v>
      </c>
      <c r="F355" s="190" t="s">
        <v>23</v>
      </c>
      <c r="G355" s="191">
        <f>ROUND((C355*E355),2)</f>
        <v>0.68</v>
      </c>
      <c r="H355" s="189"/>
      <c r="I355" s="189"/>
      <c r="J355" s="180"/>
      <c r="K355" s="180"/>
      <c r="L355" s="180"/>
      <c r="M355" s="180"/>
      <c r="N355" s="180"/>
    </row>
    <row r="356" spans="1:14" ht="14.25" x14ac:dyDescent="0.2">
      <c r="A356" s="180"/>
      <c r="B356" s="189"/>
      <c r="C356" s="189"/>
      <c r="D356" s="189"/>
      <c r="E356" s="189"/>
      <c r="F356" s="189"/>
      <c r="G356" s="189"/>
      <c r="H356" s="189"/>
      <c r="I356" s="189"/>
      <c r="J356" s="180"/>
      <c r="K356" s="180"/>
      <c r="L356" s="180"/>
      <c r="M356" s="180"/>
      <c r="N356" s="180"/>
    </row>
    <row r="357" spans="1:14" ht="14.25" x14ac:dyDescent="0.2">
      <c r="A357" s="180"/>
      <c r="B357" s="189" t="s">
        <v>456</v>
      </c>
      <c r="C357" s="189"/>
      <c r="D357" s="189"/>
      <c r="E357" s="189"/>
      <c r="F357" s="189"/>
      <c r="G357" s="189"/>
      <c r="H357" s="189"/>
      <c r="I357" s="189"/>
      <c r="J357" s="180"/>
      <c r="K357" s="180"/>
      <c r="L357" s="180"/>
      <c r="M357" s="180"/>
      <c r="N357" s="180"/>
    </row>
    <row r="358" spans="1:14" ht="14.25" x14ac:dyDescent="0.2">
      <c r="A358" s="180"/>
      <c r="B358" s="189"/>
      <c r="C358" s="190" t="s">
        <v>457</v>
      </c>
      <c r="D358" s="189"/>
      <c r="E358" s="191" t="s">
        <v>436</v>
      </c>
      <c r="F358" s="189"/>
      <c r="G358" s="189"/>
      <c r="H358" s="189"/>
      <c r="I358" s="189"/>
      <c r="J358" s="180"/>
      <c r="K358" s="180"/>
      <c r="L358" s="180"/>
      <c r="M358" s="180"/>
      <c r="N358" s="180"/>
    </row>
    <row r="359" spans="1:14" ht="14.25" x14ac:dyDescent="0.2">
      <c r="A359" s="180"/>
      <c r="B359" s="190" t="s">
        <v>54</v>
      </c>
      <c r="C359" s="191">
        <f>G355</f>
        <v>0.68</v>
      </c>
      <c r="D359" s="190" t="s">
        <v>22</v>
      </c>
      <c r="E359" s="193">
        <f>E351</f>
        <v>10</v>
      </c>
      <c r="F359" s="193" t="s">
        <v>23</v>
      </c>
      <c r="G359" s="193">
        <f>ROUND((C359*E359),2)</f>
        <v>6.8</v>
      </c>
      <c r="H359" s="189"/>
      <c r="I359" s="189"/>
      <c r="J359" s="180"/>
      <c r="K359" s="180"/>
      <c r="L359" s="180"/>
      <c r="M359" s="180"/>
      <c r="N359" s="180"/>
    </row>
    <row r="360" spans="1:14" ht="14.25" x14ac:dyDescent="0.2">
      <c r="A360" s="180"/>
      <c r="B360" s="190"/>
      <c r="C360" s="191"/>
      <c r="D360" s="190"/>
      <c r="E360" s="193"/>
      <c r="F360" s="193"/>
      <c r="G360" s="193"/>
      <c r="H360" s="189"/>
      <c r="I360" s="189"/>
      <c r="J360" s="180"/>
      <c r="K360" s="180"/>
      <c r="L360" s="180"/>
      <c r="M360" s="180"/>
      <c r="N360" s="180"/>
    </row>
    <row r="361" spans="1:14" ht="14.25" x14ac:dyDescent="0.2">
      <c r="A361" s="180"/>
      <c r="B361" s="189" t="s">
        <v>458</v>
      </c>
      <c r="C361" s="189"/>
      <c r="D361" s="189"/>
      <c r="E361" s="189"/>
      <c r="F361" s="189"/>
      <c r="G361" s="189"/>
      <c r="H361" s="189"/>
      <c r="I361" s="189"/>
      <c r="J361" s="180"/>
      <c r="K361" s="180"/>
      <c r="L361" s="180"/>
      <c r="M361" s="180"/>
      <c r="N361" s="180"/>
    </row>
    <row r="362" spans="1:14" ht="14.25" x14ac:dyDescent="0.2">
      <c r="A362" s="180"/>
      <c r="B362" s="189"/>
      <c r="C362" s="193" t="s">
        <v>459</v>
      </c>
      <c r="D362" s="189"/>
      <c r="E362" s="193" t="s">
        <v>460</v>
      </c>
      <c r="F362" s="189"/>
      <c r="G362" s="193" t="s">
        <v>436</v>
      </c>
      <c r="H362" s="189"/>
      <c r="I362" s="189"/>
      <c r="J362" s="180"/>
      <c r="K362" s="180"/>
      <c r="L362" s="180"/>
      <c r="M362" s="180"/>
      <c r="N362" s="180"/>
    </row>
    <row r="363" spans="1:14" ht="14.25" x14ac:dyDescent="0.2">
      <c r="A363" s="180"/>
      <c r="B363" s="190" t="s">
        <v>54</v>
      </c>
      <c r="C363" s="193">
        <v>7.0000000000000007E-2</v>
      </c>
      <c r="D363" s="190" t="s">
        <v>22</v>
      </c>
      <c r="E363" s="193">
        <v>1</v>
      </c>
      <c r="F363" s="190" t="s">
        <v>22</v>
      </c>
      <c r="G363" s="193">
        <v>4</v>
      </c>
      <c r="H363" s="190" t="s">
        <v>23</v>
      </c>
      <c r="I363" s="193">
        <f>ROUND((C363*E363*G363),2)</f>
        <v>0.28000000000000003</v>
      </c>
      <c r="J363" s="180"/>
      <c r="K363" s="180"/>
      <c r="L363" s="180"/>
      <c r="M363" s="180"/>
      <c r="N363" s="180"/>
    </row>
    <row r="364" spans="1:14" ht="14.25" x14ac:dyDescent="0.2">
      <c r="A364" s="180"/>
      <c r="B364" s="189"/>
      <c r="C364" s="189"/>
      <c r="D364" s="189"/>
      <c r="E364" s="189"/>
      <c r="F364" s="189"/>
      <c r="G364" s="189"/>
      <c r="H364" s="189"/>
      <c r="I364" s="189"/>
      <c r="J364" s="180"/>
      <c r="K364" s="180"/>
      <c r="L364" s="180"/>
      <c r="M364" s="180"/>
      <c r="N364" s="180"/>
    </row>
    <row r="365" spans="1:14" ht="14.25" x14ac:dyDescent="0.2">
      <c r="A365" s="180"/>
      <c r="B365" s="189"/>
      <c r="C365" s="193" t="s">
        <v>459</v>
      </c>
      <c r="D365" s="189"/>
      <c r="E365" s="193" t="s">
        <v>460</v>
      </c>
      <c r="F365" s="189"/>
      <c r="G365" s="193" t="s">
        <v>436</v>
      </c>
      <c r="H365" s="189"/>
      <c r="I365" s="189"/>
      <c r="J365" s="180"/>
      <c r="K365" s="180"/>
      <c r="L365" s="180"/>
      <c r="M365" s="180"/>
      <c r="N365" s="180"/>
    </row>
    <row r="366" spans="1:14" ht="14.25" x14ac:dyDescent="0.2">
      <c r="A366" s="180"/>
      <c r="B366" s="190" t="s">
        <v>54</v>
      </c>
      <c r="C366" s="193">
        <v>7.0000000000000007E-2</v>
      </c>
      <c r="D366" s="190" t="s">
        <v>22</v>
      </c>
      <c r="E366" s="193">
        <v>2</v>
      </c>
      <c r="F366" s="190" t="s">
        <v>22</v>
      </c>
      <c r="G366" s="193">
        <v>6</v>
      </c>
      <c r="H366" s="190" t="s">
        <v>23</v>
      </c>
      <c r="I366" s="193">
        <f>ROUND((C366*E366*G366),2)</f>
        <v>0.84</v>
      </c>
      <c r="J366" s="180"/>
      <c r="K366" s="180"/>
      <c r="L366" s="180"/>
      <c r="M366" s="180"/>
      <c r="N366" s="180"/>
    </row>
    <row r="367" spans="1:14" ht="14.25" x14ac:dyDescent="0.2">
      <c r="A367" s="180"/>
      <c r="B367" s="189"/>
      <c r="C367" s="189"/>
      <c r="D367" s="189"/>
      <c r="E367" s="189"/>
      <c r="F367" s="189"/>
      <c r="G367" s="189"/>
      <c r="H367" s="189"/>
      <c r="I367" s="189"/>
      <c r="J367" s="180"/>
      <c r="K367" s="180"/>
      <c r="L367" s="180"/>
      <c r="M367" s="180"/>
      <c r="N367" s="180"/>
    </row>
    <row r="368" spans="1:14" ht="14.25" x14ac:dyDescent="0.2">
      <c r="A368" s="180"/>
      <c r="B368" s="180" t="s">
        <v>461</v>
      </c>
      <c r="C368" s="189"/>
      <c r="D368" s="189"/>
      <c r="E368" s="189"/>
      <c r="F368" s="189"/>
      <c r="G368" s="189"/>
      <c r="H368" s="189"/>
      <c r="I368" s="189"/>
      <c r="J368" s="180"/>
      <c r="K368" s="180"/>
      <c r="L368" s="180"/>
      <c r="M368" s="180"/>
      <c r="N368" s="180"/>
    </row>
    <row r="369" spans="1:14" ht="14.25" x14ac:dyDescent="0.2">
      <c r="A369" s="180"/>
      <c r="B369" s="190"/>
      <c r="C369" s="189" t="s">
        <v>133</v>
      </c>
      <c r="D369" s="189"/>
      <c r="E369" s="189" t="s">
        <v>462</v>
      </c>
      <c r="F369" s="189"/>
      <c r="G369" s="189"/>
      <c r="H369" s="189"/>
      <c r="I369" s="189"/>
      <c r="J369" s="180"/>
      <c r="K369" s="180"/>
      <c r="L369" s="180"/>
      <c r="M369" s="180"/>
      <c r="N369" s="180"/>
    </row>
    <row r="370" spans="1:14" ht="14.25" x14ac:dyDescent="0.2">
      <c r="A370" s="180"/>
      <c r="B370" s="190" t="s">
        <v>54</v>
      </c>
      <c r="C370" s="193">
        <f>G359</f>
        <v>6.8</v>
      </c>
      <c r="D370" s="193" t="s">
        <v>150</v>
      </c>
      <c r="E370" s="193">
        <f>I363+I366</f>
        <v>1.1200000000000001</v>
      </c>
      <c r="F370" s="190" t="s">
        <v>23</v>
      </c>
      <c r="G370" s="219">
        <f>C370-E370</f>
        <v>5.68</v>
      </c>
      <c r="H370" s="189"/>
      <c r="I370" s="189"/>
      <c r="J370" s="180"/>
      <c r="K370" s="180"/>
      <c r="L370" s="180"/>
      <c r="M370" s="180"/>
      <c r="N370" s="180"/>
    </row>
    <row r="371" spans="1:14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</row>
    <row r="372" spans="1:14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</row>
    <row r="373" spans="1:14" ht="15" x14ac:dyDescent="0.25">
      <c r="A373" s="180"/>
      <c r="B373" s="220" t="s">
        <v>463</v>
      </c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</row>
    <row r="374" spans="1:14" x14ac:dyDescent="0.2">
      <c r="A374" s="180"/>
      <c r="B374" s="180"/>
      <c r="C374" s="1266" t="s">
        <v>464</v>
      </c>
      <c r="D374" s="1266"/>
      <c r="E374" s="180"/>
      <c r="F374" s="1266" t="s">
        <v>465</v>
      </c>
      <c r="G374" s="1266"/>
      <c r="H374" s="1266"/>
      <c r="I374" s="180"/>
      <c r="J374" s="180"/>
      <c r="K374" s="180"/>
      <c r="L374" s="180"/>
      <c r="M374" s="180"/>
      <c r="N374" s="180"/>
    </row>
    <row r="375" spans="1:14" ht="14.25" x14ac:dyDescent="0.2">
      <c r="A375" s="180"/>
      <c r="B375" s="191" t="s">
        <v>54</v>
      </c>
      <c r="C375" s="1263">
        <f>G351</f>
        <v>14.9</v>
      </c>
      <c r="D375" s="1263"/>
      <c r="E375" s="190" t="s">
        <v>145</v>
      </c>
      <c r="F375" s="1264">
        <f>G370</f>
        <v>5.68</v>
      </c>
      <c r="G375" s="1264"/>
      <c r="H375" s="1264"/>
      <c r="I375" s="192" t="s">
        <v>23</v>
      </c>
      <c r="J375" s="193">
        <f>C375+F375</f>
        <v>20.58</v>
      </c>
      <c r="K375" s="180"/>
      <c r="L375" s="180"/>
      <c r="M375" s="180"/>
      <c r="N375" s="180"/>
    </row>
    <row r="376" spans="1:14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</row>
    <row r="377" spans="1:14" x14ac:dyDescent="0.2">
      <c r="A377" s="180"/>
      <c r="B377" s="192" t="s">
        <v>757</v>
      </c>
      <c r="C377" s="180"/>
      <c r="D377" s="180" t="s">
        <v>759</v>
      </c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</row>
    <row r="378" spans="1:14" x14ac:dyDescent="0.2">
      <c r="A378" s="180"/>
      <c r="B378" s="192" t="s">
        <v>758</v>
      </c>
      <c r="C378" s="180"/>
      <c r="D378" s="180" t="s">
        <v>760</v>
      </c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</row>
    <row r="379" spans="1:14" ht="14.25" x14ac:dyDescent="0.2">
      <c r="A379" s="180"/>
      <c r="B379" s="183">
        <f>J375</f>
        <v>20.58</v>
      </c>
      <c r="C379" s="183" t="s">
        <v>22</v>
      </c>
      <c r="D379" s="183">
        <f>D27</f>
        <v>1</v>
      </c>
      <c r="E379" s="184" t="s">
        <v>23</v>
      </c>
      <c r="F379" s="184">
        <f>ROUND(B379*D379,2)</f>
        <v>20.58</v>
      </c>
      <c r="G379" s="180"/>
      <c r="H379" s="180"/>
      <c r="I379" s="180"/>
      <c r="J379" s="180"/>
      <c r="K379" s="180"/>
      <c r="L379" s="180"/>
      <c r="M379" s="180"/>
      <c r="N379" s="180"/>
    </row>
    <row r="380" spans="1:14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</row>
    <row r="381" spans="1:14" ht="14.25" x14ac:dyDescent="0.2">
      <c r="A381" s="180"/>
      <c r="B381" s="200" t="s">
        <v>54</v>
      </c>
      <c r="C381" s="201">
        <f>F379</f>
        <v>20.58</v>
      </c>
      <c r="D381" s="202" t="s">
        <v>4</v>
      </c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</row>
    <row r="382" spans="1:14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</row>
    <row r="383" spans="1:14" ht="15" x14ac:dyDescent="0.2">
      <c r="A383" s="181" t="str">
        <f>ORÇAMENTO!A178</f>
        <v>9.4</v>
      </c>
      <c r="B383" s="222" t="str">
        <f>ORÇAMENTO!D178</f>
        <v>PINTURA DOS TUBOS</v>
      </c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</row>
    <row r="384" spans="1:14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</row>
    <row r="385" spans="1:14" ht="33" customHeight="1" x14ac:dyDescent="0.2">
      <c r="A385" s="181" t="str">
        <f>ORÇAMENTO!A179</f>
        <v>9.4.1</v>
      </c>
      <c r="B385" s="1256" t="str">
        <f>ORÇAMENTO!D179</f>
        <v>PINTURA COM TINTA ALQUÍDICA DE FUNDO (TIPO ZARCÃO) PULVERIZADA SOBRE SUPERFÍCIES METÁLICAS (EXCETO PERFIL) EXECUTADO EM OBRA (POR DEMÃO). AF_01/2020_P</v>
      </c>
      <c r="C385" s="1256"/>
      <c r="D385" s="1256"/>
      <c r="E385" s="1256"/>
      <c r="F385" s="1256"/>
      <c r="G385" s="1256"/>
      <c r="H385" s="1256"/>
      <c r="I385" s="1256"/>
      <c r="J385" s="1256"/>
      <c r="K385" s="1256"/>
      <c r="L385" s="1256"/>
      <c r="M385" s="1256"/>
      <c r="N385" s="1256"/>
    </row>
    <row r="386" spans="1:14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</row>
    <row r="387" spans="1:14" ht="14.25" x14ac:dyDescent="0.2">
      <c r="A387" s="180"/>
      <c r="B387" s="1241" t="s">
        <v>466</v>
      </c>
      <c r="C387" s="1241"/>
      <c r="D387" s="1241"/>
      <c r="E387" s="1241"/>
      <c r="F387" s="1241"/>
      <c r="G387" s="1241"/>
      <c r="H387" s="1241"/>
      <c r="I387" s="1241"/>
      <c r="J387" s="1241"/>
      <c r="K387" s="1241"/>
      <c r="L387" s="1241"/>
      <c r="M387" s="180"/>
      <c r="N387" s="180"/>
    </row>
    <row r="388" spans="1:14" ht="15" x14ac:dyDescent="0.2">
      <c r="A388" s="180"/>
      <c r="B388" s="183"/>
      <c r="C388" s="223"/>
      <c r="D388" s="223" t="s">
        <v>467</v>
      </c>
      <c r="E388" s="219"/>
      <c r="F388" s="219" t="s">
        <v>468</v>
      </c>
      <c r="G388" s="219"/>
      <c r="H388" s="219" t="s">
        <v>123</v>
      </c>
      <c r="I388" s="224"/>
      <c r="J388" s="224" t="s">
        <v>153</v>
      </c>
      <c r="K388" s="219"/>
      <c r="L388" s="219" t="s">
        <v>154</v>
      </c>
      <c r="M388" s="180"/>
      <c r="N388" s="180"/>
    </row>
    <row r="389" spans="1:14" ht="14.25" x14ac:dyDescent="0.2">
      <c r="A389" s="180"/>
      <c r="B389" s="183">
        <v>2</v>
      </c>
      <c r="C389" s="183" t="s">
        <v>22</v>
      </c>
      <c r="D389" s="183">
        <v>3.14</v>
      </c>
      <c r="E389" s="219" t="s">
        <v>22</v>
      </c>
      <c r="F389" s="219">
        <v>6.3500000000000001E-2</v>
      </c>
      <c r="G389" s="219" t="s">
        <v>22</v>
      </c>
      <c r="H389" s="219">
        <f>B186</f>
        <v>29.78</v>
      </c>
      <c r="I389" s="224" t="s">
        <v>22</v>
      </c>
      <c r="J389" s="224">
        <f>D186</f>
        <v>8</v>
      </c>
      <c r="K389" s="219" t="s">
        <v>23</v>
      </c>
      <c r="L389" s="219">
        <f>ROUND((B389*D389*F389*H389)*(J389),2)</f>
        <v>95.01</v>
      </c>
      <c r="M389" s="180"/>
      <c r="N389" s="180"/>
    </row>
    <row r="390" spans="1:14" ht="14.25" x14ac:dyDescent="0.2">
      <c r="A390" s="180"/>
      <c r="B390" s="189"/>
      <c r="C390" s="189"/>
      <c r="D390" s="189"/>
      <c r="E390" s="189"/>
      <c r="F390" s="189"/>
      <c r="G390" s="189"/>
      <c r="H390" s="225"/>
      <c r="I390" s="189"/>
      <c r="J390" s="189"/>
      <c r="K390" s="180"/>
      <c r="L390" s="180"/>
      <c r="M390" s="180"/>
      <c r="N390" s="180"/>
    </row>
    <row r="391" spans="1:14" x14ac:dyDescent="0.2">
      <c r="A391" s="180"/>
      <c r="B391" s="192" t="s">
        <v>757</v>
      </c>
      <c r="C391" s="180"/>
      <c r="D391" s="180" t="s">
        <v>759</v>
      </c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</row>
    <row r="392" spans="1:14" x14ac:dyDescent="0.2">
      <c r="A392" s="180"/>
      <c r="B392" s="192" t="s">
        <v>758</v>
      </c>
      <c r="C392" s="180"/>
      <c r="D392" s="180" t="s">
        <v>760</v>
      </c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</row>
    <row r="393" spans="1:14" ht="14.25" x14ac:dyDescent="0.2">
      <c r="A393" s="180"/>
      <c r="B393" s="183">
        <f>L389</f>
        <v>95.01</v>
      </c>
      <c r="C393" s="183" t="s">
        <v>22</v>
      </c>
      <c r="D393" s="183">
        <f>D27</f>
        <v>1</v>
      </c>
      <c r="E393" s="184" t="s">
        <v>23</v>
      </c>
      <c r="F393" s="184">
        <f>ROUND(B393*D393,2)</f>
        <v>95.01</v>
      </c>
      <c r="G393" s="180"/>
      <c r="H393" s="180"/>
      <c r="I393" s="180"/>
      <c r="J393" s="180"/>
      <c r="K393" s="180"/>
      <c r="L393" s="180"/>
      <c r="M393" s="180"/>
      <c r="N393" s="180"/>
    </row>
    <row r="394" spans="1:14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</row>
    <row r="395" spans="1:14" ht="14.25" x14ac:dyDescent="0.2">
      <c r="A395" s="180"/>
      <c r="B395" s="200" t="s">
        <v>54</v>
      </c>
      <c r="C395" s="201">
        <f>F393</f>
        <v>95.01</v>
      </c>
      <c r="D395" s="202" t="s">
        <v>4</v>
      </c>
      <c r="E395" s="189"/>
      <c r="F395" s="189"/>
      <c r="G395" s="189"/>
      <c r="H395" s="189"/>
      <c r="I395" s="189"/>
      <c r="J395" s="189"/>
      <c r="K395" s="180"/>
      <c r="L395" s="180"/>
      <c r="M395" s="180"/>
      <c r="N395" s="180"/>
    </row>
    <row r="396" spans="1:14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</row>
    <row r="397" spans="1:14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</row>
    <row r="398" spans="1:14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</row>
    <row r="399" spans="1:14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</row>
    <row r="400" spans="1:14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</row>
    <row r="401" spans="1:14" ht="15" customHeight="1" x14ac:dyDescent="0.2">
      <c r="A401" s="181" t="str">
        <f>ORÇAMENTO!A181</f>
        <v>9.5</v>
      </c>
      <c r="B401" s="222" t="str">
        <f>ORÇAMENTO!D181</f>
        <v>ELÉTRICO DOS ARCOS</v>
      </c>
      <c r="C401" s="222"/>
      <c r="D401" s="222"/>
      <c r="E401" s="222"/>
      <c r="F401" s="222"/>
      <c r="G401" s="222"/>
      <c r="H401" s="222"/>
      <c r="I401" s="222"/>
      <c r="J401" s="222"/>
      <c r="K401" s="222"/>
      <c r="L401" s="322"/>
      <c r="M401" s="182"/>
      <c r="N401" s="180"/>
    </row>
    <row r="402" spans="1:14" ht="15" customHeight="1" x14ac:dyDescent="0.2">
      <c r="A402" s="181" t="str">
        <f>ORÇAMENTO!A182</f>
        <v>9.5.1</v>
      </c>
      <c r="B402" s="188" t="str">
        <f>ORÇAMENTO!D182</f>
        <v>LUMINARIA LED REFLETOR RETANGULAR BIVOLT, LUZ BRANCA, 10 W. INCLUINDO RASGO NO TUBO</v>
      </c>
      <c r="C402" s="188"/>
      <c r="D402" s="188"/>
      <c r="E402" s="188"/>
      <c r="F402" s="188"/>
      <c r="G402" s="188"/>
      <c r="H402" s="188"/>
      <c r="I402" s="188"/>
      <c r="J402" s="188"/>
      <c r="K402" s="188"/>
      <c r="L402" s="188"/>
      <c r="M402" s="182"/>
      <c r="N402" s="180"/>
    </row>
    <row r="403" spans="1:14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</row>
    <row r="404" spans="1:14" x14ac:dyDescent="0.2">
      <c r="A404" s="180"/>
      <c r="B404" s="192" t="s">
        <v>757</v>
      </c>
      <c r="C404" s="180"/>
      <c r="D404" s="180" t="s">
        <v>759</v>
      </c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</row>
    <row r="405" spans="1:14" x14ac:dyDescent="0.2">
      <c r="A405" s="180"/>
      <c r="B405" s="192" t="s">
        <v>758</v>
      </c>
      <c r="C405" s="180"/>
      <c r="D405" s="180" t="s">
        <v>760</v>
      </c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</row>
    <row r="406" spans="1:14" ht="14.25" x14ac:dyDescent="0.2">
      <c r="A406" s="180"/>
      <c r="B406" s="183">
        <v>64</v>
      </c>
      <c r="C406" s="183" t="s">
        <v>22</v>
      </c>
      <c r="D406" s="183">
        <f>D27</f>
        <v>1</v>
      </c>
      <c r="E406" s="184" t="s">
        <v>23</v>
      </c>
      <c r="F406" s="184">
        <f>ROUND(B406*D406,2)</f>
        <v>64</v>
      </c>
      <c r="G406" s="180"/>
      <c r="H406" s="180"/>
      <c r="I406" s="180"/>
      <c r="J406" s="180"/>
      <c r="K406" s="180"/>
      <c r="L406" s="180"/>
      <c r="M406" s="180"/>
      <c r="N406" s="180"/>
    </row>
    <row r="407" spans="1:14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</row>
    <row r="408" spans="1:14" ht="14.25" x14ac:dyDescent="0.2">
      <c r="A408" s="180"/>
      <c r="B408" s="200" t="s">
        <v>54</v>
      </c>
      <c r="C408" s="201">
        <f>F406</f>
        <v>64</v>
      </c>
      <c r="D408" s="202" t="s">
        <v>11</v>
      </c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</row>
    <row r="409" spans="1:14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</row>
    <row r="410" spans="1:14" ht="28.5" customHeight="1" x14ac:dyDescent="0.2">
      <c r="A410" s="181" t="str">
        <f>ORÇAMENTO!A183</f>
        <v>9.5.2</v>
      </c>
      <c r="B410" s="1256" t="str">
        <f>ORÇAMENTO!D183</f>
        <v>CABO DE COBRE FLEXÍVEL ISOLADO, 2,5 MM², ANTI-CHAMA 450/750 V, PARA CIRCUITOS TERMINAIS - FORNECIMENTO E INSTALAÇÃO. AF_12/2015</v>
      </c>
      <c r="C410" s="1256"/>
      <c r="D410" s="1256"/>
      <c r="E410" s="1256"/>
      <c r="F410" s="1256"/>
      <c r="G410" s="1256"/>
      <c r="H410" s="1256"/>
      <c r="I410" s="1256"/>
      <c r="J410" s="1256"/>
      <c r="K410" s="1256"/>
      <c r="L410" s="1256"/>
      <c r="M410" s="182"/>
      <c r="N410" s="180"/>
    </row>
    <row r="411" spans="1:14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</row>
    <row r="412" spans="1:14" x14ac:dyDescent="0.2">
      <c r="A412" s="180"/>
      <c r="B412" s="192" t="s">
        <v>757</v>
      </c>
      <c r="C412" s="180"/>
      <c r="D412" s="180" t="s">
        <v>759</v>
      </c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</row>
    <row r="413" spans="1:14" x14ac:dyDescent="0.2">
      <c r="A413" s="180"/>
      <c r="B413" s="192" t="s">
        <v>758</v>
      </c>
      <c r="C413" s="180"/>
      <c r="D413" s="180" t="s">
        <v>760</v>
      </c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</row>
    <row r="414" spans="1:14" ht="14.25" x14ac:dyDescent="0.2">
      <c r="A414" s="180"/>
      <c r="B414" s="183">
        <v>1330</v>
      </c>
      <c r="C414" s="183" t="s">
        <v>22</v>
      </c>
      <c r="D414" s="183">
        <f>D27</f>
        <v>1</v>
      </c>
      <c r="E414" s="184" t="s">
        <v>23</v>
      </c>
      <c r="F414" s="184">
        <f>ROUND(B414*D414,2)</f>
        <v>1330</v>
      </c>
      <c r="G414" s="180"/>
      <c r="H414" s="180"/>
      <c r="I414" s="180"/>
      <c r="J414" s="180"/>
      <c r="K414" s="180"/>
      <c r="L414" s="180"/>
      <c r="M414" s="180"/>
      <c r="N414" s="180"/>
    </row>
    <row r="415" spans="1:14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</row>
    <row r="416" spans="1:14" ht="14.25" x14ac:dyDescent="0.2">
      <c r="A416" s="180"/>
      <c r="B416" s="200" t="s">
        <v>54</v>
      </c>
      <c r="C416" s="201">
        <f>F414</f>
        <v>1330</v>
      </c>
      <c r="D416" s="202" t="s">
        <v>13</v>
      </c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</row>
    <row r="417" spans="1:14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</row>
    <row r="418" spans="1:14" ht="28.5" customHeight="1" x14ac:dyDescent="0.2">
      <c r="A418" s="181" t="str">
        <f>ORÇAMENTO!A184</f>
        <v>9.5.3</v>
      </c>
      <c r="B418" s="1256" t="str">
        <f>ORÇAMENTO!D184</f>
        <v>ELETRODUTO FLEXÍVEL CORRUGADO, PVC, DN 25 MM (3/4"), PARA CIRCUITOS TERMINAIS, INSTALADO EM FORRO - FORNECIMENTO E INSTALAÇÃO. AF_12/2015</v>
      </c>
      <c r="C418" s="1256"/>
      <c r="D418" s="1256"/>
      <c r="E418" s="1256"/>
      <c r="F418" s="1256"/>
      <c r="G418" s="1256"/>
      <c r="H418" s="1256"/>
      <c r="I418" s="1256"/>
      <c r="J418" s="1256"/>
      <c r="K418" s="1256"/>
      <c r="L418" s="1256"/>
      <c r="M418" s="182"/>
      <c r="N418" s="180"/>
    </row>
    <row r="419" spans="1:14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</row>
    <row r="420" spans="1:14" x14ac:dyDescent="0.2">
      <c r="A420" s="180"/>
      <c r="B420" s="192" t="s">
        <v>757</v>
      </c>
      <c r="C420" s="180"/>
      <c r="D420" s="180" t="s">
        <v>759</v>
      </c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</row>
    <row r="421" spans="1:14" x14ac:dyDescent="0.2">
      <c r="A421" s="180"/>
      <c r="B421" s="192" t="s">
        <v>758</v>
      </c>
      <c r="C421" s="180"/>
      <c r="D421" s="180" t="s">
        <v>760</v>
      </c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</row>
    <row r="422" spans="1:14" ht="14.25" x14ac:dyDescent="0.2">
      <c r="A422" s="180"/>
      <c r="B422" s="183">
        <v>267</v>
      </c>
      <c r="C422" s="183" t="s">
        <v>22</v>
      </c>
      <c r="D422" s="183">
        <f>D27</f>
        <v>1</v>
      </c>
      <c r="E422" s="184" t="s">
        <v>23</v>
      </c>
      <c r="F422" s="184">
        <f>ROUND(B422*D422,2)</f>
        <v>267</v>
      </c>
      <c r="G422" s="180"/>
      <c r="H422" s="180"/>
      <c r="I422" s="180"/>
      <c r="J422" s="180"/>
      <c r="K422" s="180"/>
      <c r="L422" s="180"/>
      <c r="M422" s="180"/>
      <c r="N422" s="180"/>
    </row>
    <row r="423" spans="1:14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</row>
    <row r="424" spans="1:14" ht="14.25" x14ac:dyDescent="0.2">
      <c r="A424" s="180"/>
      <c r="B424" s="200" t="s">
        <v>54</v>
      </c>
      <c r="C424" s="201">
        <f>F422</f>
        <v>267</v>
      </c>
      <c r="D424" s="202" t="s">
        <v>13</v>
      </c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</row>
    <row r="425" spans="1:14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</row>
    <row r="426" spans="1:14" ht="15" x14ac:dyDescent="0.2">
      <c r="A426" s="181" t="str">
        <f>ORÇAMENTO!A185</f>
        <v>9.5.4</v>
      </c>
      <c r="B426" s="1256" t="str">
        <f>ORÇAMENTO!D185</f>
        <v>RELÉ FOTOELÉTRICO PARA COMANDO DE ILUMINAÇÃO EXTERNA 1000 W - FORNECIMENTO E INSTALAÇÃO. AF_08/2020</v>
      </c>
      <c r="C426" s="1256"/>
      <c r="D426" s="1256"/>
      <c r="E426" s="1256"/>
      <c r="F426" s="1256"/>
      <c r="G426" s="1256"/>
      <c r="H426" s="1256"/>
      <c r="I426" s="1256"/>
      <c r="J426" s="1256"/>
      <c r="K426" s="1256"/>
      <c r="L426" s="1256"/>
      <c r="M426" s="180"/>
      <c r="N426" s="180"/>
    </row>
    <row r="427" spans="1:14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</row>
    <row r="428" spans="1:14" x14ac:dyDescent="0.2">
      <c r="A428" s="180"/>
      <c r="B428" s="192" t="s">
        <v>757</v>
      </c>
      <c r="C428" s="180"/>
      <c r="D428" s="180" t="s">
        <v>759</v>
      </c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</row>
    <row r="429" spans="1:14" x14ac:dyDescent="0.2">
      <c r="A429" s="180"/>
      <c r="B429" s="192" t="s">
        <v>758</v>
      </c>
      <c r="C429" s="180"/>
      <c r="D429" s="180" t="s">
        <v>760</v>
      </c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</row>
    <row r="430" spans="1:14" ht="14.25" x14ac:dyDescent="0.2">
      <c r="A430" s="180"/>
      <c r="B430" s="183">
        <v>4</v>
      </c>
      <c r="C430" s="183" t="s">
        <v>22</v>
      </c>
      <c r="D430" s="183">
        <f>D27</f>
        <v>1</v>
      </c>
      <c r="E430" s="184" t="s">
        <v>23</v>
      </c>
      <c r="F430" s="184">
        <f>ROUND(B430*D430,2)</f>
        <v>4</v>
      </c>
      <c r="G430" s="180"/>
      <c r="H430" s="180"/>
      <c r="I430" s="180"/>
      <c r="J430" s="180"/>
      <c r="K430" s="180"/>
      <c r="L430" s="180"/>
      <c r="M430" s="180"/>
      <c r="N430" s="180"/>
    </row>
    <row r="431" spans="1:14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</row>
    <row r="432" spans="1:14" ht="14.25" x14ac:dyDescent="0.2">
      <c r="A432" s="180"/>
      <c r="B432" s="200" t="s">
        <v>54</v>
      </c>
      <c r="C432" s="201">
        <f>F430</f>
        <v>4</v>
      </c>
      <c r="D432" s="202" t="s">
        <v>11</v>
      </c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</row>
    <row r="433" spans="1:14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</row>
    <row r="434" spans="1:14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</row>
    <row r="435" spans="1:14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</row>
    <row r="436" spans="1:14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</row>
    <row r="437" spans="1:14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</row>
    <row r="438" spans="1:14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</row>
  </sheetData>
  <mergeCells count="71">
    <mergeCell ref="B426:L426"/>
    <mergeCell ref="B387:L387"/>
    <mergeCell ref="B410:L410"/>
    <mergeCell ref="B418:L418"/>
    <mergeCell ref="B329:C329"/>
    <mergeCell ref="C340:I340"/>
    <mergeCell ref="C374:D374"/>
    <mergeCell ref="F374:H374"/>
    <mergeCell ref="C375:D375"/>
    <mergeCell ref="F375:H375"/>
    <mergeCell ref="B385:N385"/>
    <mergeCell ref="B194:L194"/>
    <mergeCell ref="B202:L202"/>
    <mergeCell ref="C319:D319"/>
    <mergeCell ref="F319:H319"/>
    <mergeCell ref="B217:C217"/>
    <mergeCell ref="C228:I228"/>
    <mergeCell ref="C262:D262"/>
    <mergeCell ref="F262:H262"/>
    <mergeCell ref="C263:D263"/>
    <mergeCell ref="F263:H263"/>
    <mergeCell ref="B271:L271"/>
    <mergeCell ref="B273:C273"/>
    <mergeCell ref="C284:I284"/>
    <mergeCell ref="C318:D318"/>
    <mergeCell ref="F318:H318"/>
    <mergeCell ref="B215:L215"/>
    <mergeCell ref="C146:I146"/>
    <mergeCell ref="C148:I148"/>
    <mergeCell ref="B170:L170"/>
    <mergeCell ref="B181:L181"/>
    <mergeCell ref="B184:F184"/>
    <mergeCell ref="B64:D64"/>
    <mergeCell ref="B15:L15"/>
    <mergeCell ref="B17:L17"/>
    <mergeCell ref="B19:L19"/>
    <mergeCell ref="B21:J21"/>
    <mergeCell ref="B31:L31"/>
    <mergeCell ref="B60:D60"/>
    <mergeCell ref="C73:I73"/>
    <mergeCell ref="C75:I75"/>
    <mergeCell ref="B79:D79"/>
    <mergeCell ref="B105:B123"/>
    <mergeCell ref="C105:C123"/>
    <mergeCell ref="B124:F124"/>
    <mergeCell ref="B135:L135"/>
    <mergeCell ref="A1:N1"/>
    <mergeCell ref="A4:B4"/>
    <mergeCell ref="C4:J4"/>
    <mergeCell ref="K4:L4"/>
    <mergeCell ref="M4:N4"/>
    <mergeCell ref="A5:B5"/>
    <mergeCell ref="C5:N5"/>
    <mergeCell ref="A6:B6"/>
    <mergeCell ref="C6:N6"/>
    <mergeCell ref="A7:B7"/>
    <mergeCell ref="C7:G7"/>
    <mergeCell ref="H7:I8"/>
    <mergeCell ref="J7:N7"/>
    <mergeCell ref="A8:B8"/>
    <mergeCell ref="A11:N11"/>
    <mergeCell ref="A13:N13"/>
    <mergeCell ref="A9:B9"/>
    <mergeCell ref="C9:G9"/>
    <mergeCell ref="H9:I9"/>
    <mergeCell ref="J9:N9"/>
    <mergeCell ref="A2:M2"/>
    <mergeCell ref="A3:M3"/>
    <mergeCell ref="C8:G8"/>
    <mergeCell ref="J8:N8"/>
    <mergeCell ref="A10:M10"/>
  </mergeCells>
  <pageMargins left="0.6692913385826772" right="0.51181102362204722" top="0.35433070866141736" bottom="0.35433070866141736" header="0.31496062992125984" footer="0.11811023622047245"/>
  <pageSetup paperSize="9" scale="50" fitToHeight="6" orientation="portrait" r:id="rId1"/>
  <rowBreaks count="4" manualBreakCount="4">
    <brk id="101" max="13" man="1"/>
    <brk id="180" max="13" man="1"/>
    <brk id="269" max="13" man="1"/>
    <brk id="352" max="1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</sheetPr>
  <dimension ref="A1:M189"/>
  <sheetViews>
    <sheetView view="pageBreakPreview" zoomScaleNormal="100" zoomScaleSheetLayoutView="100" workbookViewId="0">
      <selection activeCell="P8" sqref="P8"/>
    </sheetView>
  </sheetViews>
  <sheetFormatPr defaultRowHeight="15" x14ac:dyDescent="0.25"/>
  <cols>
    <col min="3" max="3" width="11.140625" customWidth="1"/>
    <col min="9" max="9" width="10.85546875" customWidth="1"/>
    <col min="11" max="11" width="11.7109375" customWidth="1"/>
  </cols>
  <sheetData>
    <row r="1" spans="1:13" ht="90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</row>
    <row r="2" spans="1:13" ht="21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</row>
    <row r="3" spans="1:13" ht="1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</row>
    <row r="4" spans="1:13" ht="33" customHeight="1" x14ac:dyDescent="0.25">
      <c r="A4" s="969" t="s">
        <v>33</v>
      </c>
      <c r="B4" s="970"/>
      <c r="C4" s="1109" t="str">
        <f>COMPOSIÇÕES!B4</f>
        <v>PREFEITURA MUNICIPAL DE BRASIL NOVO/PA</v>
      </c>
      <c r="D4" s="1110"/>
      <c r="E4" s="1110"/>
      <c r="F4" s="1110"/>
      <c r="G4" s="1121"/>
      <c r="H4" s="1128" t="s">
        <v>859</v>
      </c>
      <c r="I4" s="1129"/>
      <c r="J4" s="1126" t="str">
        <f>ORÇAMENTO!J4</f>
        <v>BRASIL NOVO/PA</v>
      </c>
      <c r="K4" s="1127"/>
    </row>
    <row r="5" spans="1:13" ht="24" customHeight="1" x14ac:dyDescent="0.25">
      <c r="A5" s="969" t="s">
        <v>860</v>
      </c>
      <c r="B5" s="970"/>
      <c r="C5" s="1109" t="str">
        <f>COMPOSIÇÕES!B5</f>
        <v>CONSTRUÇÃO DE PRAÇA NO MUNICÍPIO DE BRASIL NOVO - PARÁ</v>
      </c>
      <c r="D5" s="1110"/>
      <c r="E5" s="1110"/>
      <c r="F5" s="1110"/>
      <c r="G5" s="1110"/>
      <c r="H5" s="1110"/>
      <c r="I5" s="1110"/>
      <c r="J5" s="1110"/>
      <c r="K5" s="1110"/>
    </row>
    <row r="6" spans="1:13" ht="28.5" customHeight="1" x14ac:dyDescent="0.25">
      <c r="A6" s="969" t="s">
        <v>861</v>
      </c>
      <c r="B6" s="970"/>
      <c r="C6" s="976" t="str">
        <f>ORÇAMENTO!B6</f>
        <v>AVENIDA TRANSAMAZÔNICA S/N, BRASIL NOVO/PA</v>
      </c>
      <c r="D6" s="977"/>
      <c r="E6" s="977"/>
      <c r="F6" s="977"/>
      <c r="G6" s="977"/>
      <c r="H6" s="977"/>
      <c r="I6" s="977"/>
      <c r="J6" s="977"/>
      <c r="K6" s="977"/>
    </row>
    <row r="7" spans="1:13" ht="32.25" customHeight="1" x14ac:dyDescent="0.25">
      <c r="A7" s="980" t="s">
        <v>80</v>
      </c>
      <c r="B7" s="981"/>
      <c r="C7" s="1153">
        <f>ORÇAMENTO!B7</f>
        <v>0.29769428939090381</v>
      </c>
      <c r="D7" s="1154"/>
      <c r="E7" s="1154"/>
      <c r="F7" s="1155"/>
      <c r="G7" s="1150" t="s">
        <v>34</v>
      </c>
      <c r="H7" s="1151"/>
      <c r="I7" s="1112" t="str">
        <f>ORÇAMENTO!H7</f>
        <v>SINAPI FEVEREIRO 2022 - DESONERADA</v>
      </c>
      <c r="J7" s="1113"/>
      <c r="K7" s="1113"/>
    </row>
    <row r="8" spans="1:13" ht="30.75" customHeight="1" x14ac:dyDescent="0.25">
      <c r="A8" s="969" t="s">
        <v>863</v>
      </c>
      <c r="B8" s="970"/>
      <c r="C8" s="965" t="str">
        <f>ORÇAMENTO!B8</f>
        <v>06 meses</v>
      </c>
      <c r="D8" s="965"/>
      <c r="E8" s="965"/>
      <c r="F8" s="965"/>
      <c r="G8" s="1118"/>
      <c r="H8" s="1119"/>
      <c r="I8" s="1114" t="str">
        <f>ORÇAMENTO!H8</f>
        <v>SEDOP FEVEREIRO 2022 - DESONERADA</v>
      </c>
      <c r="J8" s="1115"/>
      <c r="K8" s="1115"/>
    </row>
    <row r="9" spans="1:13" ht="24.75" customHeight="1" x14ac:dyDescent="0.25">
      <c r="A9" s="969" t="s">
        <v>865</v>
      </c>
      <c r="B9" s="970"/>
      <c r="C9" s="1124">
        <f>ORÇAMENTO!B9</f>
        <v>1202969.1098858207</v>
      </c>
      <c r="D9" s="1146"/>
      <c r="E9" s="1146"/>
      <c r="F9" s="1125"/>
      <c r="G9" s="1103" t="s">
        <v>864</v>
      </c>
      <c r="H9" s="1104"/>
      <c r="I9" s="1101">
        <f>ORÇAMENTO!H9</f>
        <v>44749</v>
      </c>
      <c r="J9" s="1102"/>
      <c r="K9" s="1102"/>
    </row>
    <row r="10" spans="1:13" ht="12" customHeight="1" thickBot="1" x14ac:dyDescent="0.3">
      <c r="A10" s="1173"/>
      <c r="B10" s="1174"/>
      <c r="C10" s="1174"/>
      <c r="D10" s="1174"/>
      <c r="E10" s="1174"/>
      <c r="F10" s="1174"/>
      <c r="G10" s="1174"/>
      <c r="H10" s="1174"/>
      <c r="I10" s="1174"/>
      <c r="J10" s="1174"/>
      <c r="K10" s="1174"/>
    </row>
    <row r="11" spans="1:13" ht="15.75" thickBot="1" x14ac:dyDescent="0.3">
      <c r="A11" s="1140" t="s">
        <v>874</v>
      </c>
      <c r="B11" s="1141"/>
      <c r="C11" s="1141"/>
      <c r="D11" s="1141"/>
      <c r="E11" s="1141"/>
      <c r="F11" s="1141"/>
      <c r="G11" s="1141"/>
      <c r="H11" s="1141"/>
      <c r="I11" s="1141"/>
      <c r="J11" s="1141"/>
      <c r="K11" s="1141"/>
    </row>
    <row r="12" spans="1:13" ht="9.75" customHeight="1" thickBot="1" x14ac:dyDescent="0.3">
      <c r="A12" s="463"/>
      <c r="B12" s="464"/>
      <c r="C12" s="464"/>
      <c r="D12" s="464"/>
      <c r="E12" s="464"/>
      <c r="F12" s="464"/>
      <c r="G12" s="464"/>
      <c r="H12" s="464"/>
      <c r="I12" s="464"/>
      <c r="J12" s="464"/>
      <c r="K12" s="464"/>
    </row>
    <row r="13" spans="1:13" x14ac:dyDescent="0.25">
      <c r="A13" s="1172" t="str">
        <f>ORÇAMENTO!D186</f>
        <v>SERVIÇOS FINAIS</v>
      </c>
      <c r="B13" s="1136"/>
      <c r="C13" s="1136"/>
      <c r="D13" s="1136"/>
      <c r="E13" s="1136"/>
      <c r="F13" s="1136"/>
      <c r="G13" s="1136"/>
      <c r="H13" s="1136"/>
      <c r="I13" s="1136"/>
      <c r="J13" s="1136"/>
      <c r="K13" s="1136"/>
    </row>
    <row r="14" spans="1:13" x14ac:dyDescent="0.2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5" spans="1:13" x14ac:dyDescent="0.25">
      <c r="A15" s="167">
        <f>ORÇAMENTO!A186</f>
        <v>10</v>
      </c>
      <c r="B15" s="1247" t="str">
        <f>ORÇAMENTO!D186</f>
        <v>SERVIÇOS FINAIS</v>
      </c>
      <c r="C15" s="1247"/>
      <c r="D15" s="172"/>
      <c r="E15" s="53"/>
      <c r="F15" s="53"/>
      <c r="G15" s="53"/>
      <c r="H15" s="53"/>
      <c r="I15" s="53"/>
      <c r="J15" s="53"/>
      <c r="K15" s="53"/>
    </row>
    <row r="16" spans="1:13" s="643" customFormat="1" ht="32.25" customHeight="1" x14ac:dyDescent="0.25">
      <c r="A16" s="351" t="str">
        <f>ORÇAMENTO!A187</f>
        <v>10.1</v>
      </c>
      <c r="B16" s="1251" t="str">
        <f>ORÇAMENTO!D187</f>
        <v>PLACA DE INAUGURAÇÃO EM AÇO INOX/LETRAS BX. RELEVO (40 X 30 CM) FIXADA NA PEÇA EM CONCRETO, INCLUISO FUNDAÇÃO. FORNECIMENTO E INSTALAÇÃO.</v>
      </c>
      <c r="C16" s="1251"/>
      <c r="D16" s="1251"/>
      <c r="E16" s="1251"/>
      <c r="F16" s="1251"/>
      <c r="G16" s="1251"/>
      <c r="H16" s="1251"/>
      <c r="I16" s="1251"/>
      <c r="J16" s="1251"/>
      <c r="K16" s="1251"/>
    </row>
    <row r="17" spans="1:11" x14ac:dyDescent="0.25">
      <c r="A17" s="6"/>
      <c r="B17" s="62"/>
      <c r="C17" s="62"/>
      <c r="D17" s="62"/>
      <c r="E17" s="62"/>
      <c r="F17" s="40"/>
      <c r="G17" s="40"/>
      <c r="H17" s="6"/>
      <c r="I17" s="6"/>
      <c r="J17" s="6"/>
      <c r="K17" s="6"/>
    </row>
    <row r="18" spans="1:11" x14ac:dyDescent="0.25">
      <c r="B18" s="8" t="s">
        <v>31</v>
      </c>
      <c r="C18" s="11">
        <v>1</v>
      </c>
      <c r="D18" s="12"/>
      <c r="E18" s="10" t="s">
        <v>1146</v>
      </c>
      <c r="F18" s="40"/>
      <c r="G18" s="40"/>
      <c r="H18" s="6"/>
      <c r="I18" s="6"/>
      <c r="J18" s="6"/>
      <c r="K18" s="6"/>
    </row>
    <row r="19" spans="1:11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pans="1:11" x14ac:dyDescent="0.25">
      <c r="A20" s="167" t="str">
        <f>ORÇAMENTO!A188</f>
        <v>10.2</v>
      </c>
      <c r="B20" s="172" t="str">
        <f>ORÇAMENTO!D188</f>
        <v>LIMPEZA DE CONTRAPISO COM VASSOURA A SECO. AF_04/2019</v>
      </c>
      <c r="C20" s="172"/>
      <c r="D20" s="172"/>
      <c r="E20" s="172"/>
      <c r="F20" s="53"/>
      <c r="G20" s="53"/>
      <c r="H20" s="53"/>
      <c r="I20" s="53"/>
      <c r="J20" s="53"/>
      <c r="K20" s="53"/>
    </row>
    <row r="21" spans="1:11" x14ac:dyDescent="0.2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 x14ac:dyDescent="0.25">
      <c r="A22" s="53"/>
      <c r="B22" s="53" t="s">
        <v>736</v>
      </c>
      <c r="C22" s="53"/>
      <c r="D22" s="53">
        <v>220.57</v>
      </c>
      <c r="E22" s="53"/>
      <c r="F22" s="53"/>
      <c r="G22" s="53"/>
      <c r="H22" s="53"/>
      <c r="I22" s="53"/>
      <c r="J22" s="53"/>
      <c r="K22" s="53"/>
    </row>
    <row r="23" spans="1:11" x14ac:dyDescent="0.25">
      <c r="A23" s="53"/>
      <c r="B23" s="53" t="s">
        <v>942</v>
      </c>
      <c r="C23" s="53"/>
      <c r="D23" s="53">
        <v>500.79</v>
      </c>
      <c r="E23" s="53"/>
      <c r="F23" s="53"/>
      <c r="G23" s="53"/>
      <c r="H23" s="53"/>
      <c r="I23" s="53"/>
      <c r="J23" s="53"/>
      <c r="K23" s="53"/>
    </row>
    <row r="24" spans="1:11" x14ac:dyDescent="0.25">
      <c r="A24" s="53"/>
      <c r="B24" s="53" t="s">
        <v>944</v>
      </c>
      <c r="C24" s="53"/>
      <c r="D24" s="53">
        <v>52.91</v>
      </c>
      <c r="E24" s="53"/>
      <c r="F24" s="53"/>
      <c r="G24" s="53"/>
      <c r="H24" s="53"/>
      <c r="I24" s="53"/>
      <c r="J24" s="53"/>
      <c r="K24" s="53"/>
    </row>
    <row r="25" spans="1:11" x14ac:dyDescent="0.25">
      <c r="A25" s="53"/>
      <c r="B25" s="53" t="s">
        <v>943</v>
      </c>
      <c r="C25" s="53"/>
      <c r="D25" s="53">
        <v>456.15</v>
      </c>
      <c r="E25" s="53"/>
      <c r="F25" s="53"/>
      <c r="G25" s="53"/>
      <c r="H25" s="53"/>
      <c r="I25" s="53"/>
      <c r="J25" s="53"/>
      <c r="K25" s="53"/>
    </row>
    <row r="26" spans="1:11" x14ac:dyDescent="0.25">
      <c r="A26" s="53"/>
      <c r="B26" s="53" t="s">
        <v>737</v>
      </c>
      <c r="C26" s="53"/>
      <c r="D26" s="53">
        <v>4558.8500000000004</v>
      </c>
      <c r="E26" s="53"/>
      <c r="F26" s="53"/>
      <c r="G26" s="53"/>
      <c r="H26" s="53"/>
      <c r="I26" s="53"/>
      <c r="J26" s="53"/>
      <c r="K26" s="53"/>
    </row>
    <row r="27" spans="1:11" x14ac:dyDescent="0.2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 x14ac:dyDescent="0.2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x14ac:dyDescent="0.25">
      <c r="A29" s="6"/>
      <c r="B29" s="62" t="s">
        <v>735</v>
      </c>
      <c r="C29" s="62"/>
      <c r="D29" s="62"/>
      <c r="E29" s="62"/>
      <c r="F29" s="40"/>
      <c r="G29" s="40"/>
      <c r="H29" s="6"/>
      <c r="I29" s="6"/>
      <c r="J29" s="6"/>
      <c r="K29" s="6"/>
    </row>
    <row r="30" spans="1:11" x14ac:dyDescent="0.25">
      <c r="B30" s="8" t="s">
        <v>31</v>
      </c>
      <c r="C30" s="11">
        <f>ROUND(SUM(D21:D27),2)</f>
        <v>5789.27</v>
      </c>
      <c r="D30" s="12"/>
      <c r="E30" s="10" t="s">
        <v>4</v>
      </c>
      <c r="F30" s="40"/>
      <c r="G30" s="40"/>
      <c r="H30" s="6"/>
      <c r="I30" s="6"/>
      <c r="J30" s="6"/>
      <c r="K30" s="6"/>
    </row>
    <row r="31" spans="1:1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x14ac:dyDescent="0.25">
      <c r="A32" s="6"/>
      <c r="B32" s="6"/>
      <c r="C32" s="6"/>
      <c r="D32" s="6"/>
      <c r="E32" s="6"/>
      <c r="F32" s="6"/>
      <c r="G32" s="6"/>
      <c r="H32" s="486"/>
      <c r="I32" s="6"/>
      <c r="J32" s="6"/>
      <c r="K32" s="6"/>
    </row>
    <row r="33" spans="4:4" x14ac:dyDescent="0.25">
      <c r="D33" s="107"/>
    </row>
    <row r="189" spans="4:4" ht="31.5" customHeight="1" x14ac:dyDescent="0.25">
      <c r="D189" s="798"/>
    </row>
  </sheetData>
  <mergeCells count="27">
    <mergeCell ref="A5:B5"/>
    <mergeCell ref="C5:K5"/>
    <mergeCell ref="A6:B6"/>
    <mergeCell ref="C6:K6"/>
    <mergeCell ref="A7:B7"/>
    <mergeCell ref="C7:F7"/>
    <mergeCell ref="G7:H8"/>
    <mergeCell ref="I7:K7"/>
    <mergeCell ref="A8:B8"/>
    <mergeCell ref="C8:F8"/>
    <mergeCell ref="I8:K8"/>
    <mergeCell ref="A1:K1"/>
    <mergeCell ref="A4:B4"/>
    <mergeCell ref="C4:G4"/>
    <mergeCell ref="H4:I4"/>
    <mergeCell ref="J4:K4"/>
    <mergeCell ref="A2:M2"/>
    <mergeCell ref="A3:M3"/>
    <mergeCell ref="B16:K16"/>
    <mergeCell ref="I9:K9"/>
    <mergeCell ref="A11:K11"/>
    <mergeCell ref="A13:K13"/>
    <mergeCell ref="A10:K10"/>
    <mergeCell ref="B15:C15"/>
    <mergeCell ref="A9:B9"/>
    <mergeCell ref="C9:F9"/>
    <mergeCell ref="G9:H9"/>
  </mergeCells>
  <pageMargins left="0.71" right="0.511811024" top="0.78740157499999996" bottom="0.78740157499999996" header="0.31496062000000002" footer="0.31496062000000002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9"/>
  <sheetViews>
    <sheetView view="pageBreakPreview" zoomScale="70" zoomScaleNormal="100" zoomScaleSheetLayoutView="70" workbookViewId="0">
      <selection activeCell="O40" sqref="O40"/>
    </sheetView>
  </sheetViews>
  <sheetFormatPr defaultRowHeight="12.75" x14ac:dyDescent="0.2"/>
  <cols>
    <col min="1" max="1" width="9.7109375" style="329" customWidth="1"/>
    <col min="2" max="2" width="24.85546875" style="328" customWidth="1"/>
    <col min="3" max="3" width="15.28515625" style="328" customWidth="1"/>
    <col min="4" max="4" width="22.42578125" style="328" customWidth="1"/>
    <col min="5" max="6" width="16.42578125" style="328" customWidth="1"/>
    <col min="7" max="7" width="17.140625" style="328" customWidth="1"/>
    <col min="8" max="8" width="17" style="328" customWidth="1"/>
    <col min="9" max="9" width="17.42578125" style="328" customWidth="1"/>
    <col min="10" max="10" width="18" style="328" customWidth="1"/>
    <col min="11" max="11" width="19.140625" style="328" bestFit="1" customWidth="1"/>
    <col min="12" max="258" width="9.140625" style="328"/>
    <col min="259" max="259" width="52.28515625" style="328" bestFit="1" customWidth="1"/>
    <col min="260" max="260" width="17.7109375" style="328" customWidth="1"/>
    <col min="261" max="266" width="12.85546875" style="328" customWidth="1"/>
    <col min="267" max="514" width="9.140625" style="328"/>
    <col min="515" max="515" width="52.28515625" style="328" bestFit="1" customWidth="1"/>
    <col min="516" max="516" width="17.7109375" style="328" customWidth="1"/>
    <col min="517" max="522" width="12.85546875" style="328" customWidth="1"/>
    <col min="523" max="770" width="9.140625" style="328"/>
    <col min="771" max="771" width="52.28515625" style="328" bestFit="1" customWidth="1"/>
    <col min="772" max="772" width="17.7109375" style="328" customWidth="1"/>
    <col min="773" max="778" width="12.85546875" style="328" customWidth="1"/>
    <col min="779" max="1026" width="9.140625" style="328"/>
    <col min="1027" max="1027" width="52.28515625" style="328" bestFit="1" customWidth="1"/>
    <col min="1028" max="1028" width="17.7109375" style="328" customWidth="1"/>
    <col min="1029" max="1034" width="12.85546875" style="328" customWidth="1"/>
    <col min="1035" max="1282" width="9.140625" style="328"/>
    <col min="1283" max="1283" width="52.28515625" style="328" bestFit="1" customWidth="1"/>
    <col min="1284" max="1284" width="17.7109375" style="328" customWidth="1"/>
    <col min="1285" max="1290" width="12.85546875" style="328" customWidth="1"/>
    <col min="1291" max="1538" width="9.140625" style="328"/>
    <col min="1539" max="1539" width="52.28515625" style="328" bestFit="1" customWidth="1"/>
    <col min="1540" max="1540" width="17.7109375" style="328" customWidth="1"/>
    <col min="1541" max="1546" width="12.85546875" style="328" customWidth="1"/>
    <col min="1547" max="1794" width="9.140625" style="328"/>
    <col min="1795" max="1795" width="52.28515625" style="328" bestFit="1" customWidth="1"/>
    <col min="1796" max="1796" width="17.7109375" style="328" customWidth="1"/>
    <col min="1797" max="1802" width="12.85546875" style="328" customWidth="1"/>
    <col min="1803" max="2050" width="9.140625" style="328"/>
    <col min="2051" max="2051" width="52.28515625" style="328" bestFit="1" customWidth="1"/>
    <col min="2052" max="2052" width="17.7109375" style="328" customWidth="1"/>
    <col min="2053" max="2058" width="12.85546875" style="328" customWidth="1"/>
    <col min="2059" max="2306" width="9.140625" style="328"/>
    <col min="2307" max="2307" width="52.28515625" style="328" bestFit="1" customWidth="1"/>
    <col min="2308" max="2308" width="17.7109375" style="328" customWidth="1"/>
    <col min="2309" max="2314" width="12.85546875" style="328" customWidth="1"/>
    <col min="2315" max="2562" width="9.140625" style="328"/>
    <col min="2563" max="2563" width="52.28515625" style="328" bestFit="1" customWidth="1"/>
    <col min="2564" max="2564" width="17.7109375" style="328" customWidth="1"/>
    <col min="2565" max="2570" width="12.85546875" style="328" customWidth="1"/>
    <col min="2571" max="2818" width="9.140625" style="328"/>
    <col min="2819" max="2819" width="52.28515625" style="328" bestFit="1" customWidth="1"/>
    <col min="2820" max="2820" width="17.7109375" style="328" customWidth="1"/>
    <col min="2821" max="2826" width="12.85546875" style="328" customWidth="1"/>
    <col min="2827" max="3074" width="9.140625" style="328"/>
    <col min="3075" max="3075" width="52.28515625" style="328" bestFit="1" customWidth="1"/>
    <col min="3076" max="3076" width="17.7109375" style="328" customWidth="1"/>
    <col min="3077" max="3082" width="12.85546875" style="328" customWidth="1"/>
    <col min="3083" max="3330" width="9.140625" style="328"/>
    <col min="3331" max="3331" width="52.28515625" style="328" bestFit="1" customWidth="1"/>
    <col min="3332" max="3332" width="17.7109375" style="328" customWidth="1"/>
    <col min="3333" max="3338" width="12.85546875" style="328" customWidth="1"/>
    <col min="3339" max="3586" width="9.140625" style="328"/>
    <col min="3587" max="3587" width="52.28515625" style="328" bestFit="1" customWidth="1"/>
    <col min="3588" max="3588" width="17.7109375" style="328" customWidth="1"/>
    <col min="3589" max="3594" width="12.85546875" style="328" customWidth="1"/>
    <col min="3595" max="3842" width="9.140625" style="328"/>
    <col min="3843" max="3843" width="52.28515625" style="328" bestFit="1" customWidth="1"/>
    <col min="3844" max="3844" width="17.7109375" style="328" customWidth="1"/>
    <col min="3845" max="3850" width="12.85546875" style="328" customWidth="1"/>
    <col min="3851" max="4098" width="9.140625" style="328"/>
    <col min="4099" max="4099" width="52.28515625" style="328" bestFit="1" customWidth="1"/>
    <col min="4100" max="4100" width="17.7109375" style="328" customWidth="1"/>
    <col min="4101" max="4106" width="12.85546875" style="328" customWidth="1"/>
    <col min="4107" max="4354" width="9.140625" style="328"/>
    <col min="4355" max="4355" width="52.28515625" style="328" bestFit="1" customWidth="1"/>
    <col min="4356" max="4356" width="17.7109375" style="328" customWidth="1"/>
    <col min="4357" max="4362" width="12.85546875" style="328" customWidth="1"/>
    <col min="4363" max="4610" width="9.140625" style="328"/>
    <col min="4611" max="4611" width="52.28515625" style="328" bestFit="1" customWidth="1"/>
    <col min="4612" max="4612" width="17.7109375" style="328" customWidth="1"/>
    <col min="4613" max="4618" width="12.85546875" style="328" customWidth="1"/>
    <col min="4619" max="4866" width="9.140625" style="328"/>
    <col min="4867" max="4867" width="52.28515625" style="328" bestFit="1" customWidth="1"/>
    <col min="4868" max="4868" width="17.7109375" style="328" customWidth="1"/>
    <col min="4869" max="4874" width="12.85546875" style="328" customWidth="1"/>
    <col min="4875" max="5122" width="9.140625" style="328"/>
    <col min="5123" max="5123" width="52.28515625" style="328" bestFit="1" customWidth="1"/>
    <col min="5124" max="5124" width="17.7109375" style="328" customWidth="1"/>
    <col min="5125" max="5130" width="12.85546875" style="328" customWidth="1"/>
    <col min="5131" max="5378" width="9.140625" style="328"/>
    <col min="5379" max="5379" width="52.28515625" style="328" bestFit="1" customWidth="1"/>
    <col min="5380" max="5380" width="17.7109375" style="328" customWidth="1"/>
    <col min="5381" max="5386" width="12.85546875" style="328" customWidth="1"/>
    <col min="5387" max="5634" width="9.140625" style="328"/>
    <col min="5635" max="5635" width="52.28515625" style="328" bestFit="1" customWidth="1"/>
    <col min="5636" max="5636" width="17.7109375" style="328" customWidth="1"/>
    <col min="5637" max="5642" width="12.85546875" style="328" customWidth="1"/>
    <col min="5643" max="5890" width="9.140625" style="328"/>
    <col min="5891" max="5891" width="52.28515625" style="328" bestFit="1" customWidth="1"/>
    <col min="5892" max="5892" width="17.7109375" style="328" customWidth="1"/>
    <col min="5893" max="5898" width="12.85546875" style="328" customWidth="1"/>
    <col min="5899" max="6146" width="9.140625" style="328"/>
    <col min="6147" max="6147" width="52.28515625" style="328" bestFit="1" customWidth="1"/>
    <col min="6148" max="6148" width="17.7109375" style="328" customWidth="1"/>
    <col min="6149" max="6154" width="12.85546875" style="328" customWidth="1"/>
    <col min="6155" max="6402" width="9.140625" style="328"/>
    <col min="6403" max="6403" width="52.28515625" style="328" bestFit="1" customWidth="1"/>
    <col min="6404" max="6404" width="17.7109375" style="328" customWidth="1"/>
    <col min="6405" max="6410" width="12.85546875" style="328" customWidth="1"/>
    <col min="6411" max="6658" width="9.140625" style="328"/>
    <col min="6659" max="6659" width="52.28515625" style="328" bestFit="1" customWidth="1"/>
    <col min="6660" max="6660" width="17.7109375" style="328" customWidth="1"/>
    <col min="6661" max="6666" width="12.85546875" style="328" customWidth="1"/>
    <col min="6667" max="6914" width="9.140625" style="328"/>
    <col min="6915" max="6915" width="52.28515625" style="328" bestFit="1" customWidth="1"/>
    <col min="6916" max="6916" width="17.7109375" style="328" customWidth="1"/>
    <col min="6917" max="6922" width="12.85546875" style="328" customWidth="1"/>
    <col min="6923" max="7170" width="9.140625" style="328"/>
    <col min="7171" max="7171" width="52.28515625" style="328" bestFit="1" customWidth="1"/>
    <col min="7172" max="7172" width="17.7109375" style="328" customWidth="1"/>
    <col min="7173" max="7178" width="12.85546875" style="328" customWidth="1"/>
    <col min="7179" max="7426" width="9.140625" style="328"/>
    <col min="7427" max="7427" width="52.28515625" style="328" bestFit="1" customWidth="1"/>
    <col min="7428" max="7428" width="17.7109375" style="328" customWidth="1"/>
    <col min="7429" max="7434" width="12.85546875" style="328" customWidth="1"/>
    <col min="7435" max="7682" width="9.140625" style="328"/>
    <col min="7683" max="7683" width="52.28515625" style="328" bestFit="1" customWidth="1"/>
    <col min="7684" max="7684" width="17.7109375" style="328" customWidth="1"/>
    <col min="7685" max="7690" width="12.85546875" style="328" customWidth="1"/>
    <col min="7691" max="7938" width="9.140625" style="328"/>
    <col min="7939" max="7939" width="52.28515625" style="328" bestFit="1" customWidth="1"/>
    <col min="7940" max="7940" width="17.7109375" style="328" customWidth="1"/>
    <col min="7941" max="7946" width="12.85546875" style="328" customWidth="1"/>
    <col min="7947" max="8194" width="9.140625" style="328"/>
    <col min="8195" max="8195" width="52.28515625" style="328" bestFit="1" customWidth="1"/>
    <col min="8196" max="8196" width="17.7109375" style="328" customWidth="1"/>
    <col min="8197" max="8202" width="12.85546875" style="328" customWidth="1"/>
    <col min="8203" max="8450" width="9.140625" style="328"/>
    <col min="8451" max="8451" width="52.28515625" style="328" bestFit="1" customWidth="1"/>
    <col min="8452" max="8452" width="17.7109375" style="328" customWidth="1"/>
    <col min="8453" max="8458" width="12.85546875" style="328" customWidth="1"/>
    <col min="8459" max="8706" width="9.140625" style="328"/>
    <col min="8707" max="8707" width="52.28515625" style="328" bestFit="1" customWidth="1"/>
    <col min="8708" max="8708" width="17.7109375" style="328" customWidth="1"/>
    <col min="8709" max="8714" width="12.85546875" style="328" customWidth="1"/>
    <col min="8715" max="8962" width="9.140625" style="328"/>
    <col min="8963" max="8963" width="52.28515625" style="328" bestFit="1" customWidth="1"/>
    <col min="8964" max="8964" width="17.7109375" style="328" customWidth="1"/>
    <col min="8965" max="8970" width="12.85546875" style="328" customWidth="1"/>
    <col min="8971" max="9218" width="9.140625" style="328"/>
    <col min="9219" max="9219" width="52.28515625" style="328" bestFit="1" customWidth="1"/>
    <col min="9220" max="9220" width="17.7109375" style="328" customWidth="1"/>
    <col min="9221" max="9226" width="12.85546875" style="328" customWidth="1"/>
    <col min="9227" max="9474" width="9.140625" style="328"/>
    <col min="9475" max="9475" width="52.28515625" style="328" bestFit="1" customWidth="1"/>
    <col min="9476" max="9476" width="17.7109375" style="328" customWidth="1"/>
    <col min="9477" max="9482" width="12.85546875" style="328" customWidth="1"/>
    <col min="9483" max="9730" width="9.140625" style="328"/>
    <col min="9731" max="9731" width="52.28515625" style="328" bestFit="1" customWidth="1"/>
    <col min="9732" max="9732" width="17.7109375" style="328" customWidth="1"/>
    <col min="9733" max="9738" width="12.85546875" style="328" customWidth="1"/>
    <col min="9739" max="9986" width="9.140625" style="328"/>
    <col min="9987" max="9987" width="52.28515625" style="328" bestFit="1" customWidth="1"/>
    <col min="9988" max="9988" width="17.7109375" style="328" customWidth="1"/>
    <col min="9989" max="9994" width="12.85546875" style="328" customWidth="1"/>
    <col min="9995" max="10242" width="9.140625" style="328"/>
    <col min="10243" max="10243" width="52.28515625" style="328" bestFit="1" customWidth="1"/>
    <col min="10244" max="10244" width="17.7109375" style="328" customWidth="1"/>
    <col min="10245" max="10250" width="12.85546875" style="328" customWidth="1"/>
    <col min="10251" max="10498" width="9.140625" style="328"/>
    <col min="10499" max="10499" width="52.28515625" style="328" bestFit="1" customWidth="1"/>
    <col min="10500" max="10500" width="17.7109375" style="328" customWidth="1"/>
    <col min="10501" max="10506" width="12.85546875" style="328" customWidth="1"/>
    <col min="10507" max="10754" width="9.140625" style="328"/>
    <col min="10755" max="10755" width="52.28515625" style="328" bestFit="1" customWidth="1"/>
    <col min="10756" max="10756" width="17.7109375" style="328" customWidth="1"/>
    <col min="10757" max="10762" width="12.85546875" style="328" customWidth="1"/>
    <col min="10763" max="11010" width="9.140625" style="328"/>
    <col min="11011" max="11011" width="52.28515625" style="328" bestFit="1" customWidth="1"/>
    <col min="11012" max="11012" width="17.7109375" style="328" customWidth="1"/>
    <col min="11013" max="11018" width="12.85546875" style="328" customWidth="1"/>
    <col min="11019" max="11266" width="9.140625" style="328"/>
    <col min="11267" max="11267" width="52.28515625" style="328" bestFit="1" customWidth="1"/>
    <col min="11268" max="11268" width="17.7109375" style="328" customWidth="1"/>
    <col min="11269" max="11274" width="12.85546875" style="328" customWidth="1"/>
    <col min="11275" max="11522" width="9.140625" style="328"/>
    <col min="11523" max="11523" width="52.28515625" style="328" bestFit="1" customWidth="1"/>
    <col min="11524" max="11524" width="17.7109375" style="328" customWidth="1"/>
    <col min="11525" max="11530" width="12.85546875" style="328" customWidth="1"/>
    <col min="11531" max="11778" width="9.140625" style="328"/>
    <col min="11779" max="11779" width="52.28515625" style="328" bestFit="1" customWidth="1"/>
    <col min="11780" max="11780" width="17.7109375" style="328" customWidth="1"/>
    <col min="11781" max="11786" width="12.85546875" style="328" customWidth="1"/>
    <col min="11787" max="12034" width="9.140625" style="328"/>
    <col min="12035" max="12035" width="52.28515625" style="328" bestFit="1" customWidth="1"/>
    <col min="12036" max="12036" width="17.7109375" style="328" customWidth="1"/>
    <col min="12037" max="12042" width="12.85546875" style="328" customWidth="1"/>
    <col min="12043" max="12290" width="9.140625" style="328"/>
    <col min="12291" max="12291" width="52.28515625" style="328" bestFit="1" customWidth="1"/>
    <col min="12292" max="12292" width="17.7109375" style="328" customWidth="1"/>
    <col min="12293" max="12298" width="12.85546875" style="328" customWidth="1"/>
    <col min="12299" max="12546" width="9.140625" style="328"/>
    <col min="12547" max="12547" width="52.28515625" style="328" bestFit="1" customWidth="1"/>
    <col min="12548" max="12548" width="17.7109375" style="328" customWidth="1"/>
    <col min="12549" max="12554" width="12.85546875" style="328" customWidth="1"/>
    <col min="12555" max="12802" width="9.140625" style="328"/>
    <col min="12803" max="12803" width="52.28515625" style="328" bestFit="1" customWidth="1"/>
    <col min="12804" max="12804" width="17.7109375" style="328" customWidth="1"/>
    <col min="12805" max="12810" width="12.85546875" style="328" customWidth="1"/>
    <col min="12811" max="13058" width="9.140625" style="328"/>
    <col min="13059" max="13059" width="52.28515625" style="328" bestFit="1" customWidth="1"/>
    <col min="13060" max="13060" width="17.7109375" style="328" customWidth="1"/>
    <col min="13061" max="13066" width="12.85546875" style="328" customWidth="1"/>
    <col min="13067" max="13314" width="9.140625" style="328"/>
    <col min="13315" max="13315" width="52.28515625" style="328" bestFit="1" customWidth="1"/>
    <col min="13316" max="13316" width="17.7109375" style="328" customWidth="1"/>
    <col min="13317" max="13322" width="12.85546875" style="328" customWidth="1"/>
    <col min="13323" max="13570" width="9.140625" style="328"/>
    <col min="13571" max="13571" width="52.28515625" style="328" bestFit="1" customWidth="1"/>
    <col min="13572" max="13572" width="17.7109375" style="328" customWidth="1"/>
    <col min="13573" max="13578" width="12.85546875" style="328" customWidth="1"/>
    <col min="13579" max="13826" width="9.140625" style="328"/>
    <col min="13827" max="13827" width="52.28515625" style="328" bestFit="1" customWidth="1"/>
    <col min="13828" max="13828" width="17.7109375" style="328" customWidth="1"/>
    <col min="13829" max="13834" width="12.85546875" style="328" customWidth="1"/>
    <col min="13835" max="14082" width="9.140625" style="328"/>
    <col min="14083" max="14083" width="52.28515625" style="328" bestFit="1" customWidth="1"/>
    <col min="14084" max="14084" width="17.7109375" style="328" customWidth="1"/>
    <col min="14085" max="14090" width="12.85546875" style="328" customWidth="1"/>
    <col min="14091" max="14338" width="9.140625" style="328"/>
    <col min="14339" max="14339" width="52.28515625" style="328" bestFit="1" customWidth="1"/>
    <col min="14340" max="14340" width="17.7109375" style="328" customWidth="1"/>
    <col min="14341" max="14346" width="12.85546875" style="328" customWidth="1"/>
    <col min="14347" max="14594" width="9.140625" style="328"/>
    <col min="14595" max="14595" width="52.28515625" style="328" bestFit="1" customWidth="1"/>
    <col min="14596" max="14596" width="17.7109375" style="328" customWidth="1"/>
    <col min="14597" max="14602" width="12.85546875" style="328" customWidth="1"/>
    <col min="14603" max="14850" width="9.140625" style="328"/>
    <col min="14851" max="14851" width="52.28515625" style="328" bestFit="1" customWidth="1"/>
    <col min="14852" max="14852" width="17.7109375" style="328" customWidth="1"/>
    <col min="14853" max="14858" width="12.85546875" style="328" customWidth="1"/>
    <col min="14859" max="15106" width="9.140625" style="328"/>
    <col min="15107" max="15107" width="52.28515625" style="328" bestFit="1" customWidth="1"/>
    <col min="15108" max="15108" width="17.7109375" style="328" customWidth="1"/>
    <col min="15109" max="15114" width="12.85546875" style="328" customWidth="1"/>
    <col min="15115" max="15362" width="9.140625" style="328"/>
    <col min="15363" max="15363" width="52.28515625" style="328" bestFit="1" customWidth="1"/>
    <col min="15364" max="15364" width="17.7109375" style="328" customWidth="1"/>
    <col min="15365" max="15370" width="12.85546875" style="328" customWidth="1"/>
    <col min="15371" max="15618" width="9.140625" style="328"/>
    <col min="15619" max="15619" width="52.28515625" style="328" bestFit="1" customWidth="1"/>
    <col min="15620" max="15620" width="17.7109375" style="328" customWidth="1"/>
    <col min="15621" max="15626" width="12.85546875" style="328" customWidth="1"/>
    <col min="15627" max="15874" width="9.140625" style="328"/>
    <col min="15875" max="15875" width="52.28515625" style="328" bestFit="1" customWidth="1"/>
    <col min="15876" max="15876" width="17.7109375" style="328" customWidth="1"/>
    <col min="15877" max="15882" width="12.85546875" style="328" customWidth="1"/>
    <col min="15883" max="16130" width="9.140625" style="328"/>
    <col min="16131" max="16131" width="52.28515625" style="328" bestFit="1" customWidth="1"/>
    <col min="16132" max="16132" width="17.7109375" style="328" customWidth="1"/>
    <col min="16133" max="16138" width="12.85546875" style="328" customWidth="1"/>
    <col min="16139" max="16384" width="9.140625" style="328"/>
  </cols>
  <sheetData>
    <row r="1" spans="1:11" customFormat="1" ht="95.25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  <c r="I1" s="975"/>
      <c r="J1" s="975"/>
    </row>
    <row r="2" spans="1:11" customFormat="1" ht="21.75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  <c r="I2" s="982"/>
      <c r="J2" s="982"/>
    </row>
    <row r="3" spans="1:11" customFormat="1" ht="20.2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5" customHeight="1" x14ac:dyDescent="0.2">
      <c r="A4" s="969" t="s">
        <v>33</v>
      </c>
      <c r="B4" s="970"/>
      <c r="C4" s="976" t="str">
        <f>COMPOSIÇÕES!B4</f>
        <v>PREFEITURA MUNICIPAL DE BRASIL NOVO/PA</v>
      </c>
      <c r="D4" s="977"/>
      <c r="E4" s="977"/>
      <c r="F4" s="977"/>
      <c r="G4" s="978"/>
      <c r="H4" s="621" t="s">
        <v>859</v>
      </c>
      <c r="I4" s="615" t="str">
        <f>ORÇAMENTO!J4</f>
        <v>BRASIL NOVO/PA</v>
      </c>
      <c r="J4" s="616"/>
    </row>
    <row r="5" spans="1:11" ht="15" customHeight="1" x14ac:dyDescent="0.2">
      <c r="A5" s="969" t="s">
        <v>860</v>
      </c>
      <c r="B5" s="970"/>
      <c r="C5" s="965" t="str">
        <f>COMPOSIÇÕES!B5</f>
        <v>CONSTRUÇÃO DE PRAÇA NO MUNICÍPIO DE BRASIL NOVO - PARÁ</v>
      </c>
      <c r="D5" s="965"/>
      <c r="E5" s="965"/>
      <c r="F5" s="965"/>
      <c r="G5" s="965"/>
      <c r="H5" s="965"/>
      <c r="I5" s="965"/>
      <c r="J5" s="965"/>
    </row>
    <row r="6" spans="1:11" ht="15" x14ac:dyDescent="0.2">
      <c r="A6" s="969" t="s">
        <v>861</v>
      </c>
      <c r="B6" s="970"/>
      <c r="C6" s="973" t="str">
        <f>ORÇAMENTO!B6</f>
        <v>AVENIDA TRANSAMAZÔNICA S/N, BRASIL NOVO/PA</v>
      </c>
      <c r="D6" s="973"/>
      <c r="E6" s="973"/>
      <c r="F6" s="973"/>
      <c r="G6" s="973"/>
      <c r="H6" s="973"/>
      <c r="I6" s="973"/>
      <c r="J6" s="973"/>
    </row>
    <row r="7" spans="1:11" ht="15" customHeight="1" x14ac:dyDescent="0.2">
      <c r="A7" s="980" t="s">
        <v>80</v>
      </c>
      <c r="B7" s="981"/>
      <c r="C7" s="964">
        <f>ORÇAMENTO!B7</f>
        <v>0.29769428939090381</v>
      </c>
      <c r="D7" s="964"/>
      <c r="E7" s="964"/>
      <c r="F7" s="964"/>
      <c r="G7" s="985" t="s">
        <v>34</v>
      </c>
      <c r="H7" s="979" t="str">
        <f>ORÇAMENTO!H7</f>
        <v>SINAPI FEVEREIRO 2022 - DESONERADA</v>
      </c>
      <c r="I7" s="979"/>
      <c r="J7" s="979"/>
    </row>
    <row r="8" spans="1:11" ht="15" customHeight="1" x14ac:dyDescent="0.2">
      <c r="A8" s="969" t="s">
        <v>1152</v>
      </c>
      <c r="B8" s="970"/>
      <c r="C8" s="965" t="str">
        <f>ORÇAMENTO!B8</f>
        <v>06 meses</v>
      </c>
      <c r="D8" s="965"/>
      <c r="E8" s="965"/>
      <c r="F8" s="965"/>
      <c r="G8" s="985"/>
      <c r="H8" s="979" t="str">
        <f>ORÇAMENTO!H8</f>
        <v>SEDOP FEVEREIRO 2022 - DESONERADA</v>
      </c>
      <c r="I8" s="979"/>
      <c r="J8" s="979"/>
    </row>
    <row r="9" spans="1:11" ht="15.75" thickBot="1" x14ac:dyDescent="0.25">
      <c r="A9" s="969" t="s">
        <v>865</v>
      </c>
      <c r="B9" s="970"/>
      <c r="C9" s="971">
        <f>ORÇAMENTO!B9</f>
        <v>1202969.1098858207</v>
      </c>
      <c r="D9" s="971"/>
      <c r="E9" s="971"/>
      <c r="F9" s="971"/>
      <c r="G9" s="617" t="s">
        <v>864</v>
      </c>
      <c r="H9" s="963">
        <f>ORÇAMENTO!H9</f>
        <v>44749</v>
      </c>
      <c r="I9" s="963"/>
      <c r="J9" s="963"/>
    </row>
    <row r="10" spans="1:11" s="488" customFormat="1" ht="26.25" customHeight="1" thickBot="1" x14ac:dyDescent="0.25">
      <c r="A10" s="966" t="s">
        <v>29</v>
      </c>
      <c r="B10" s="967"/>
      <c r="C10" s="968"/>
      <c r="D10" s="968"/>
      <c r="E10" s="968"/>
      <c r="F10" s="968"/>
      <c r="G10" s="968"/>
      <c r="H10" s="968"/>
      <c r="I10" s="968"/>
      <c r="J10" s="968"/>
    </row>
    <row r="11" spans="1:11" s="488" customFormat="1" ht="21.75" customHeight="1" x14ac:dyDescent="0.25">
      <c r="A11" s="882" t="s">
        <v>15</v>
      </c>
      <c r="B11" s="983" t="s">
        <v>16</v>
      </c>
      <c r="C11" s="984"/>
      <c r="D11" s="883" t="s">
        <v>17</v>
      </c>
      <c r="E11" s="884" t="s">
        <v>18</v>
      </c>
      <c r="F11" s="884" t="s">
        <v>19</v>
      </c>
      <c r="G11" s="884" t="s">
        <v>20</v>
      </c>
      <c r="H11" s="884" t="s">
        <v>21</v>
      </c>
      <c r="I11" s="884" t="s">
        <v>70</v>
      </c>
      <c r="J11" s="884" t="s">
        <v>71</v>
      </c>
    </row>
    <row r="12" spans="1:11" s="488" customFormat="1" ht="16.5" customHeight="1" x14ac:dyDescent="0.25">
      <c r="A12" s="869"/>
      <c r="B12" s="951" t="str">
        <f>ORÇAMENTO!D14</f>
        <v>ADMINISTRAÇÃO DE OBRA</v>
      </c>
      <c r="C12" s="952"/>
      <c r="D12" s="868">
        <f>SUM(E12:J12)</f>
        <v>1</v>
      </c>
      <c r="E12" s="495">
        <v>5.96E-2</v>
      </c>
      <c r="F12" s="495">
        <v>8.14E-2</v>
      </c>
      <c r="G12" s="495">
        <v>9.9199999999999997E-2</v>
      </c>
      <c r="H12" s="495">
        <v>0.2359</v>
      </c>
      <c r="I12" s="495">
        <v>0.32929999999999998</v>
      </c>
      <c r="J12" s="495">
        <v>0.1946</v>
      </c>
      <c r="K12" s="620"/>
    </row>
    <row r="13" spans="1:11" s="488" customFormat="1" ht="18.75" customHeight="1" x14ac:dyDescent="0.25">
      <c r="A13" s="870">
        <f>ORÇAMENTO!A14</f>
        <v>1</v>
      </c>
      <c r="B13" s="953"/>
      <c r="C13" s="954"/>
      <c r="D13" s="875">
        <f>ORÇAMENTO!J14</f>
        <v>23767.751057081477</v>
      </c>
      <c r="E13" s="876"/>
      <c r="F13" s="876"/>
      <c r="G13" s="876"/>
      <c r="H13" s="876"/>
      <c r="I13" s="876"/>
      <c r="J13" s="876"/>
    </row>
    <row r="14" spans="1:11" s="488" customFormat="1" ht="17.25" customHeight="1" x14ac:dyDescent="0.25">
      <c r="A14" s="501"/>
      <c r="B14" s="955"/>
      <c r="C14" s="956"/>
      <c r="D14" s="489"/>
      <c r="E14" s="491">
        <f>$D$13*$E$12</f>
        <v>1416.5579630020561</v>
      </c>
      <c r="F14" s="491">
        <f>$D$13*$F$12</f>
        <v>1934.6949360464323</v>
      </c>
      <c r="G14" s="491">
        <f>$D$13*$G$12</f>
        <v>2357.7609048624827</v>
      </c>
      <c r="H14" s="491">
        <f>$D$13*$H$12</f>
        <v>5606.8124743655208</v>
      </c>
      <c r="I14" s="491">
        <f>$D$13*$I$12</f>
        <v>7826.7204230969301</v>
      </c>
      <c r="J14" s="491">
        <f>$D$13*$J$12</f>
        <v>4625.2043557080551</v>
      </c>
      <c r="K14" s="511"/>
    </row>
    <row r="15" spans="1:11" s="488" customFormat="1" ht="17.25" customHeight="1" x14ac:dyDescent="0.25">
      <c r="A15" s="870"/>
      <c r="B15" s="933" t="str">
        <f>ORÇAMENTO!D16</f>
        <v>SERVIÇOS PRELIMINARES</v>
      </c>
      <c r="C15" s="934"/>
      <c r="D15" s="868">
        <f>SUM(E15:J15)</f>
        <v>1</v>
      </c>
      <c r="E15" s="490">
        <v>1</v>
      </c>
      <c r="F15" s="490"/>
      <c r="G15" s="490"/>
      <c r="H15" s="490"/>
      <c r="I15" s="490"/>
      <c r="J15" s="490"/>
      <c r="K15" s="620"/>
    </row>
    <row r="16" spans="1:11" s="488" customFormat="1" ht="17.25" customHeight="1" x14ac:dyDescent="0.25">
      <c r="A16" s="870">
        <f>ORÇAMENTO!A16</f>
        <v>2</v>
      </c>
      <c r="B16" s="935"/>
      <c r="C16" s="936"/>
      <c r="D16" s="875">
        <f>ORÇAMENTO!J16</f>
        <v>39035.714329543305</v>
      </c>
      <c r="E16" s="876"/>
      <c r="F16" s="493"/>
      <c r="G16" s="493"/>
      <c r="H16" s="493"/>
      <c r="I16" s="493"/>
      <c r="J16" s="493"/>
    </row>
    <row r="17" spans="1:11" s="488" customFormat="1" ht="17.25" customHeight="1" x14ac:dyDescent="0.25">
      <c r="A17" s="501"/>
      <c r="B17" s="937"/>
      <c r="C17" s="938"/>
      <c r="D17" s="489"/>
      <c r="E17" s="491">
        <f>ROUND((D16*E15),2)</f>
        <v>39035.71</v>
      </c>
      <c r="F17" s="491"/>
      <c r="G17" s="491"/>
      <c r="H17" s="491"/>
      <c r="I17" s="491"/>
      <c r="J17" s="491"/>
      <c r="K17" s="511"/>
    </row>
    <row r="18" spans="1:11" s="488" customFormat="1" ht="17.25" customHeight="1" x14ac:dyDescent="0.25">
      <c r="A18" s="870"/>
      <c r="B18" s="951" t="str">
        <f>ORÇAMENTO!D21</f>
        <v>DEMOLIÇÕES E RETIRADAS</v>
      </c>
      <c r="C18" s="952"/>
      <c r="D18" s="868">
        <f>SUM(E18:J18)</f>
        <v>1</v>
      </c>
      <c r="E18" s="490">
        <v>1</v>
      </c>
      <c r="F18" s="490"/>
      <c r="G18" s="490"/>
      <c r="H18" s="490"/>
      <c r="I18" s="490"/>
      <c r="J18" s="490"/>
      <c r="K18" s="620"/>
    </row>
    <row r="19" spans="1:11" s="488" customFormat="1" ht="18" customHeight="1" x14ac:dyDescent="0.25">
      <c r="A19" s="870">
        <f>ORÇAMENTO!A21</f>
        <v>3</v>
      </c>
      <c r="B19" s="953"/>
      <c r="C19" s="954"/>
      <c r="D19" s="875">
        <f>ORÇAMENTO!J21</f>
        <v>14565.276612364634</v>
      </c>
      <c r="E19" s="876"/>
      <c r="F19" s="493"/>
      <c r="G19" s="493"/>
      <c r="H19" s="493"/>
      <c r="I19" s="493"/>
      <c r="J19" s="493"/>
    </row>
    <row r="20" spans="1:11" s="488" customFormat="1" ht="17.25" customHeight="1" x14ac:dyDescent="0.25">
      <c r="A20" s="501"/>
      <c r="B20" s="955"/>
      <c r="C20" s="956"/>
      <c r="D20" s="489"/>
      <c r="E20" s="491">
        <f>$D$19*E18</f>
        <v>14565.276612364634</v>
      </c>
      <c r="F20" s="491"/>
      <c r="G20" s="491"/>
      <c r="H20" s="491"/>
      <c r="I20" s="491"/>
      <c r="J20" s="491"/>
      <c r="K20" s="511"/>
    </row>
    <row r="21" spans="1:11" s="488" customFormat="1" ht="17.25" customHeight="1" x14ac:dyDescent="0.25">
      <c r="A21" s="870"/>
      <c r="B21" s="933" t="str">
        <f>ORÇAMENTO!D25</f>
        <v xml:space="preserve">PAVIMENTAÇÃO </v>
      </c>
      <c r="C21" s="934"/>
      <c r="D21" s="868">
        <f>SUM(E21:J21)</f>
        <v>1</v>
      </c>
      <c r="E21" s="496"/>
      <c r="F21" s="495">
        <v>0.3</v>
      </c>
      <c r="G21" s="495">
        <v>0.2</v>
      </c>
      <c r="H21" s="495">
        <v>0.25</v>
      </c>
      <c r="I21" s="495">
        <v>0.25</v>
      </c>
      <c r="J21" s="496"/>
      <c r="K21" s="620"/>
    </row>
    <row r="22" spans="1:11" s="488" customFormat="1" ht="18.75" customHeight="1" x14ac:dyDescent="0.25">
      <c r="A22" s="870">
        <f>ORÇAMENTO!A25</f>
        <v>4</v>
      </c>
      <c r="B22" s="935"/>
      <c r="C22" s="936"/>
      <c r="D22" s="875">
        <f>ORÇAMENTO!J25</f>
        <v>343029.05079008819</v>
      </c>
      <c r="E22" s="497"/>
      <c r="F22" s="876"/>
      <c r="G22" s="876"/>
      <c r="H22" s="876"/>
      <c r="I22" s="876"/>
      <c r="J22" s="497"/>
    </row>
    <row r="23" spans="1:11" s="488" customFormat="1" ht="16.5" customHeight="1" x14ac:dyDescent="0.25">
      <c r="A23" s="501"/>
      <c r="B23" s="937"/>
      <c r="C23" s="938"/>
      <c r="D23" s="494"/>
      <c r="E23" s="498"/>
      <c r="F23" s="491">
        <f>D22*F21</f>
        <v>102908.71523702645</v>
      </c>
      <c r="G23" s="491">
        <f>D22*G21</f>
        <v>68605.810158017644</v>
      </c>
      <c r="H23" s="491">
        <f>D22*H21</f>
        <v>85757.262697522048</v>
      </c>
      <c r="I23" s="491">
        <f>D22*I21</f>
        <v>85757.262697522048</v>
      </c>
      <c r="J23" s="498"/>
      <c r="K23" s="511"/>
    </row>
    <row r="24" spans="1:11" s="488" customFormat="1" ht="16.5" customHeight="1" x14ac:dyDescent="0.25">
      <c r="A24" s="870"/>
      <c r="B24" s="933" t="str">
        <f>ORÇAMENTO!D41</f>
        <v xml:space="preserve"> URBANIZAÇÃO</v>
      </c>
      <c r="C24" s="934"/>
      <c r="D24" s="868">
        <f>SUM(E24:J24)</f>
        <v>1</v>
      </c>
      <c r="E24" s="490"/>
      <c r="F24" s="490"/>
      <c r="G24" s="490">
        <v>0.25</v>
      </c>
      <c r="H24" s="490">
        <v>0.25</v>
      </c>
      <c r="I24" s="490">
        <v>0.25</v>
      </c>
      <c r="J24" s="490">
        <v>0.25</v>
      </c>
      <c r="K24" s="620"/>
    </row>
    <row r="25" spans="1:11" s="488" customFormat="1" ht="15" customHeight="1" x14ac:dyDescent="0.25">
      <c r="A25" s="870">
        <f>ORÇAMENTO!A41</f>
        <v>5</v>
      </c>
      <c r="B25" s="935"/>
      <c r="C25" s="936"/>
      <c r="D25" s="874">
        <f>ORÇAMENTO!J41</f>
        <v>139772.76186374688</v>
      </c>
      <c r="E25" s="493"/>
      <c r="F25" s="493"/>
      <c r="G25" s="877"/>
      <c r="H25" s="877"/>
      <c r="I25" s="877"/>
      <c r="J25" s="877"/>
    </row>
    <row r="26" spans="1:11" s="488" customFormat="1" ht="17.25" customHeight="1" x14ac:dyDescent="0.25">
      <c r="A26" s="501"/>
      <c r="B26" s="937"/>
      <c r="C26" s="938"/>
      <c r="D26" s="494"/>
      <c r="E26" s="491"/>
      <c r="F26" s="491"/>
      <c r="G26" s="492">
        <f>$D$25*G24</f>
        <v>34943.190465936721</v>
      </c>
      <c r="H26" s="492">
        <f>$D$25*H24</f>
        <v>34943.190465936721</v>
      </c>
      <c r="I26" s="492">
        <f>$D$25*I24</f>
        <v>34943.190465936721</v>
      </c>
      <c r="J26" s="492">
        <f>$D$25*J24</f>
        <v>34943.190465936721</v>
      </c>
      <c r="K26" s="511"/>
    </row>
    <row r="27" spans="1:11" s="488" customFormat="1" ht="17.25" customHeight="1" x14ac:dyDescent="0.2">
      <c r="A27" s="871"/>
      <c r="B27" s="933" t="str">
        <f>ORÇAMENTO!D54</f>
        <v>PLAYGROUND</v>
      </c>
      <c r="C27" s="934"/>
      <c r="D27" s="868">
        <f>SUM(E27:J27)</f>
        <v>1</v>
      </c>
      <c r="E27" s="496"/>
      <c r="F27" s="495"/>
      <c r="G27" s="490">
        <v>0.25</v>
      </c>
      <c r="H27" s="490">
        <v>0.25</v>
      </c>
      <c r="I27" s="490">
        <v>0.25</v>
      </c>
      <c r="J27" s="490">
        <v>0.25</v>
      </c>
      <c r="K27" s="620"/>
    </row>
    <row r="28" spans="1:11" s="488" customFormat="1" ht="15" customHeight="1" x14ac:dyDescent="0.25">
      <c r="A28" s="871">
        <f>ORÇAMENTO!A54</f>
        <v>6</v>
      </c>
      <c r="B28" s="935"/>
      <c r="C28" s="936"/>
      <c r="D28" s="874">
        <f>ORÇAMENTO!J54</f>
        <v>62448.240000000005</v>
      </c>
      <c r="E28" s="497"/>
      <c r="F28" s="493"/>
      <c r="G28" s="876"/>
      <c r="H28" s="876"/>
      <c r="I28" s="876"/>
      <c r="J28" s="876"/>
    </row>
    <row r="29" spans="1:11" s="488" customFormat="1" ht="17.25" customHeight="1" x14ac:dyDescent="0.2">
      <c r="A29" s="871"/>
      <c r="B29" s="937"/>
      <c r="C29" s="938"/>
      <c r="D29" s="494"/>
      <c r="E29" s="498"/>
      <c r="F29" s="491"/>
      <c r="G29" s="491">
        <f>$D$28*G27</f>
        <v>15612.060000000001</v>
      </c>
      <c r="H29" s="491">
        <f>$D$28*H27</f>
        <v>15612.060000000001</v>
      </c>
      <c r="I29" s="491">
        <f>$D$28*I27</f>
        <v>15612.060000000001</v>
      </c>
      <c r="J29" s="491">
        <f>$D$28*J27</f>
        <v>15612.060000000001</v>
      </c>
      <c r="K29" s="511"/>
    </row>
    <row r="30" spans="1:11" s="488" customFormat="1" ht="17.25" customHeight="1" x14ac:dyDescent="0.2">
      <c r="A30" s="872"/>
      <c r="B30" s="939" t="str">
        <f>ORÇAMENTO!D80</f>
        <v>FONTE INTERATIVA E MONUMENTO</v>
      </c>
      <c r="C30" s="940"/>
      <c r="D30" s="868">
        <f>SUM(E30:J30)</f>
        <v>1</v>
      </c>
      <c r="E30" s="496"/>
      <c r="F30" s="496"/>
      <c r="G30" s="496"/>
      <c r="H30" s="496"/>
      <c r="I30" s="490">
        <v>0.5</v>
      </c>
      <c r="J30" s="490">
        <v>0.5</v>
      </c>
      <c r="K30" s="620"/>
    </row>
    <row r="31" spans="1:11" s="488" customFormat="1" ht="15" customHeight="1" x14ac:dyDescent="0.25">
      <c r="A31" s="871">
        <f>ORÇAMENTO!A80</f>
        <v>7</v>
      </c>
      <c r="B31" s="941"/>
      <c r="C31" s="942"/>
      <c r="D31" s="874">
        <f>ORÇAMENTO!J80</f>
        <v>230169.58000000005</v>
      </c>
      <c r="E31" s="497"/>
      <c r="F31" s="497"/>
      <c r="G31" s="497"/>
      <c r="H31" s="497"/>
      <c r="I31" s="876"/>
      <c r="J31" s="876"/>
    </row>
    <row r="32" spans="1:11" s="488" customFormat="1" ht="17.25" customHeight="1" x14ac:dyDescent="0.2">
      <c r="A32" s="873"/>
      <c r="B32" s="943"/>
      <c r="C32" s="944"/>
      <c r="D32" s="494"/>
      <c r="E32" s="498"/>
      <c r="F32" s="498"/>
      <c r="G32" s="498"/>
      <c r="H32" s="498"/>
      <c r="I32" s="491">
        <f>$D$31*I30</f>
        <v>115084.79000000002</v>
      </c>
      <c r="J32" s="491">
        <f>$D$31*J30</f>
        <v>115084.79000000002</v>
      </c>
      <c r="K32" s="511"/>
    </row>
    <row r="33" spans="1:11" s="488" customFormat="1" ht="17.25" customHeight="1" x14ac:dyDescent="0.2">
      <c r="A33" s="872"/>
      <c r="B33" s="945" t="str">
        <f>ORÇAMENTO!D142</f>
        <v>INSTALAÇÕES ELÉTRICAS - PRAÇA</v>
      </c>
      <c r="C33" s="946"/>
      <c r="D33" s="868">
        <f>SUM(E33:J33)</f>
        <v>1</v>
      </c>
      <c r="E33" s="496"/>
      <c r="F33" s="496"/>
      <c r="G33" s="495"/>
      <c r="H33" s="490">
        <v>0.5</v>
      </c>
      <c r="I33" s="490">
        <v>0.5</v>
      </c>
      <c r="J33" s="495"/>
      <c r="K33" s="620"/>
    </row>
    <row r="34" spans="1:11" s="488" customFormat="1" ht="17.25" customHeight="1" x14ac:dyDescent="0.25">
      <c r="A34" s="871">
        <f>ORÇAMENTO!A142</f>
        <v>8</v>
      </c>
      <c r="B34" s="947"/>
      <c r="C34" s="948"/>
      <c r="D34" s="874">
        <f>ORÇAMENTO!J142</f>
        <v>187661.76523299608</v>
      </c>
      <c r="E34" s="497"/>
      <c r="F34" s="497"/>
      <c r="G34" s="493"/>
      <c r="H34" s="876"/>
      <c r="I34" s="876"/>
      <c r="J34" s="493"/>
    </row>
    <row r="35" spans="1:11" s="488" customFormat="1" ht="17.25" customHeight="1" x14ac:dyDescent="0.2">
      <c r="A35" s="873"/>
      <c r="B35" s="949"/>
      <c r="C35" s="950"/>
      <c r="D35" s="494"/>
      <c r="E35" s="498"/>
      <c r="F35" s="498"/>
      <c r="G35" s="491"/>
      <c r="H35" s="491">
        <f>$D$34*H33</f>
        <v>93830.882616498042</v>
      </c>
      <c r="I35" s="491">
        <f>$D$34*I33</f>
        <v>93830.882616498042</v>
      </c>
      <c r="J35" s="491"/>
      <c r="K35" s="511"/>
    </row>
    <row r="36" spans="1:11" s="488" customFormat="1" ht="17.25" customHeight="1" x14ac:dyDescent="0.2">
      <c r="A36" s="871"/>
      <c r="B36" s="945" t="str">
        <f>ORÇAMENTO!D162</f>
        <v>PÓRTICO ARQUEADO EM TUBO DE AÇO</v>
      </c>
      <c r="C36" s="946"/>
      <c r="D36" s="868">
        <f>SUM(E36:J36)</f>
        <v>1</v>
      </c>
      <c r="E36" s="490"/>
      <c r="F36" s="490"/>
      <c r="G36" s="496"/>
      <c r="H36" s="490">
        <v>0.4</v>
      </c>
      <c r="I36" s="490">
        <v>0.4</v>
      </c>
      <c r="J36" s="490">
        <v>0.2</v>
      </c>
      <c r="K36" s="620"/>
    </row>
    <row r="37" spans="1:11" s="488" customFormat="1" ht="16.5" customHeight="1" x14ac:dyDescent="0.25">
      <c r="A37" s="871">
        <f>ORÇAMENTO!A162</f>
        <v>9</v>
      </c>
      <c r="B37" s="947"/>
      <c r="C37" s="948"/>
      <c r="D37" s="874">
        <f>ORÇAMENTO!J162</f>
        <v>144767.45999999996</v>
      </c>
      <c r="E37" s="493"/>
      <c r="F37" s="493"/>
      <c r="G37" s="497"/>
      <c r="H37" s="876"/>
      <c r="I37" s="876"/>
      <c r="J37" s="876"/>
    </row>
    <row r="38" spans="1:11" s="488" customFormat="1" ht="17.25" customHeight="1" x14ac:dyDescent="0.2">
      <c r="A38" s="871"/>
      <c r="B38" s="949"/>
      <c r="C38" s="950"/>
      <c r="D38" s="494"/>
      <c r="E38" s="491"/>
      <c r="F38" s="491"/>
      <c r="G38" s="498"/>
      <c r="H38" s="491">
        <f>$D$37*H36</f>
        <v>57906.983999999989</v>
      </c>
      <c r="I38" s="491">
        <f>$D$37*I36</f>
        <v>57906.983999999989</v>
      </c>
      <c r="J38" s="491">
        <f>$D$37*J36</f>
        <v>28953.491999999995</v>
      </c>
      <c r="K38" s="511"/>
    </row>
    <row r="39" spans="1:11" s="488" customFormat="1" ht="17.25" customHeight="1" x14ac:dyDescent="0.2">
      <c r="A39" s="872"/>
      <c r="B39" s="933" t="str">
        <f>ORÇAMENTO!D186</f>
        <v>SERVIÇOS FINAIS</v>
      </c>
      <c r="C39" s="934"/>
      <c r="D39" s="868">
        <f>SUM(E39:J39)</f>
        <v>1</v>
      </c>
      <c r="E39" s="499"/>
      <c r="F39" s="496"/>
      <c r="G39" s="496"/>
      <c r="H39" s="496"/>
      <c r="I39" s="496"/>
      <c r="J39" s="490">
        <v>1</v>
      </c>
      <c r="K39" s="620"/>
    </row>
    <row r="40" spans="1:11" s="488" customFormat="1" ht="15" customHeight="1" x14ac:dyDescent="0.25">
      <c r="A40" s="871">
        <f>ORÇAMENTO!A186</f>
        <v>10</v>
      </c>
      <c r="B40" s="935"/>
      <c r="C40" s="936"/>
      <c r="D40" s="874">
        <f>ORÇAMENTO!J186</f>
        <v>17751.509999999998</v>
      </c>
      <c r="E40" s="500"/>
      <c r="F40" s="497"/>
      <c r="G40" s="497"/>
      <c r="H40" s="497"/>
      <c r="I40" s="497"/>
      <c r="J40" s="876"/>
    </row>
    <row r="41" spans="1:11" s="488" customFormat="1" ht="17.25" customHeight="1" x14ac:dyDescent="0.2">
      <c r="A41" s="873"/>
      <c r="B41" s="937"/>
      <c r="C41" s="938"/>
      <c r="D41" s="494"/>
      <c r="E41" s="491"/>
      <c r="F41" s="498"/>
      <c r="G41" s="498"/>
      <c r="H41" s="498"/>
      <c r="I41" s="498"/>
      <c r="J41" s="491">
        <f>$D$40*J39</f>
        <v>17751.509999999998</v>
      </c>
      <c r="K41" s="511"/>
    </row>
    <row r="42" spans="1:11" s="488" customFormat="1" ht="17.100000000000001" customHeight="1" x14ac:dyDescent="0.25">
      <c r="A42" s="501"/>
      <c r="B42" s="961" t="s">
        <v>17</v>
      </c>
      <c r="C42" s="962"/>
      <c r="D42" s="502">
        <f>D40+D37+D34+D31+D28+D25+D22+D19+D16+D13</f>
        <v>1202969.1098858207</v>
      </c>
    </row>
    <row r="43" spans="1:11" s="488" customFormat="1" ht="16.5" customHeight="1" x14ac:dyDescent="0.25">
      <c r="A43" s="503"/>
      <c r="B43" s="957" t="s">
        <v>182</v>
      </c>
      <c r="C43" s="958"/>
      <c r="D43" s="878"/>
      <c r="E43" s="879">
        <f t="shared" ref="E43:I43" si="0">ROUND(E14+E17+E20+E23+E26+E29+E32+E35+E38+E41,2)</f>
        <v>55017.54</v>
      </c>
      <c r="F43" s="879">
        <f t="shared" si="0"/>
        <v>104843.41</v>
      </c>
      <c r="G43" s="879">
        <f t="shared" si="0"/>
        <v>121518.82</v>
      </c>
      <c r="H43" s="879">
        <f t="shared" si="0"/>
        <v>293657.19</v>
      </c>
      <c r="I43" s="879">
        <f t="shared" si="0"/>
        <v>410961.89</v>
      </c>
      <c r="J43" s="879">
        <f>ROUND(J14+J17+J20+J23+J26+J29+J32+J35+J38+J41,2)+0.01</f>
        <v>216970.26</v>
      </c>
    </row>
    <row r="44" spans="1:11" s="488" customFormat="1" ht="18" customHeight="1" x14ac:dyDescent="0.2">
      <c r="A44" s="504"/>
      <c r="B44" s="961" t="s">
        <v>179</v>
      </c>
      <c r="C44" s="962"/>
      <c r="D44" s="505"/>
      <c r="E44" s="506">
        <f t="shared" ref="E44:J44" si="1">E43/$D$42</f>
        <v>4.5734790318283376E-2</v>
      </c>
      <c r="F44" s="506">
        <f t="shared" si="1"/>
        <v>8.7153867159524306E-2</v>
      </c>
      <c r="G44" s="506">
        <f t="shared" si="1"/>
        <v>0.10101574429582312</v>
      </c>
      <c r="H44" s="506">
        <f t="shared" si="1"/>
        <v>0.244110332997555</v>
      </c>
      <c r="I44" s="506">
        <f t="shared" si="1"/>
        <v>0.34162297819850612</v>
      </c>
      <c r="J44" s="506">
        <f t="shared" si="1"/>
        <v>0.18036228712522273</v>
      </c>
      <c r="K44" s="511"/>
    </row>
    <row r="45" spans="1:11" s="488" customFormat="1" ht="18" customHeight="1" x14ac:dyDescent="0.2">
      <c r="A45" s="504"/>
      <c r="B45" s="957" t="s">
        <v>180</v>
      </c>
      <c r="C45" s="958"/>
      <c r="D45" s="880"/>
      <c r="E45" s="881">
        <f>E43</f>
        <v>55017.54</v>
      </c>
      <c r="F45" s="881">
        <f>F43+E45</f>
        <v>159860.95000000001</v>
      </c>
      <c r="G45" s="881">
        <f>G43+F45</f>
        <v>281379.77</v>
      </c>
      <c r="H45" s="881">
        <f>H43+G45</f>
        <v>575036.96</v>
      </c>
      <c r="I45" s="881">
        <f>I43+H45</f>
        <v>985998.85</v>
      </c>
      <c r="J45" s="881">
        <f>J43+I45</f>
        <v>1202969.1099999999</v>
      </c>
    </row>
    <row r="46" spans="1:11" s="488" customFormat="1" ht="18.75" customHeight="1" thickBot="1" x14ac:dyDescent="0.25">
      <c r="A46" s="507"/>
      <c r="B46" s="959" t="s">
        <v>181</v>
      </c>
      <c r="C46" s="960"/>
      <c r="D46" s="508"/>
      <c r="E46" s="509">
        <f>E44</f>
        <v>4.5734790318283376E-2</v>
      </c>
      <c r="F46" s="509">
        <f>E46+F44</f>
        <v>0.13288865747780768</v>
      </c>
      <c r="G46" s="509">
        <f>F46+G44</f>
        <v>0.23390440177363081</v>
      </c>
      <c r="H46" s="509">
        <f>G46+H44</f>
        <v>0.47801473477118583</v>
      </c>
      <c r="I46" s="509">
        <f>H46+I44</f>
        <v>0.8196377129696919</v>
      </c>
      <c r="J46" s="509">
        <f>I46+J44</f>
        <v>1.0000000000949147</v>
      </c>
    </row>
    <row r="47" spans="1:11" s="488" customFormat="1" ht="27" customHeight="1" x14ac:dyDescent="0.25">
      <c r="A47" s="972" t="s">
        <v>1158</v>
      </c>
      <c r="B47" s="972"/>
      <c r="C47" s="972"/>
      <c r="D47" s="972"/>
      <c r="E47" s="972"/>
      <c r="F47" s="972"/>
      <c r="G47" s="972"/>
      <c r="H47" s="972"/>
      <c r="I47" s="972"/>
      <c r="J47" s="972"/>
    </row>
    <row r="48" spans="1:11" s="488" customFormat="1" ht="14.25" x14ac:dyDescent="0.2">
      <c r="A48" s="510"/>
    </row>
    <row r="49" spans="1:5" s="488" customFormat="1" ht="14.25" x14ac:dyDescent="0.2">
      <c r="A49" s="510"/>
      <c r="E49" s="512">
        <f>D42/10</f>
        <v>120296.91098858207</v>
      </c>
    </row>
  </sheetData>
  <mergeCells count="37">
    <mergeCell ref="A47:J47"/>
    <mergeCell ref="C6:J6"/>
    <mergeCell ref="C5:J5"/>
    <mergeCell ref="A1:J1"/>
    <mergeCell ref="C4:G4"/>
    <mergeCell ref="H7:J7"/>
    <mergeCell ref="A4:B4"/>
    <mergeCell ref="A5:B5"/>
    <mergeCell ref="A6:B6"/>
    <mergeCell ref="A7:B7"/>
    <mergeCell ref="A2:J2"/>
    <mergeCell ref="A3:J3"/>
    <mergeCell ref="A8:B8"/>
    <mergeCell ref="B11:C11"/>
    <mergeCell ref="H8:J8"/>
    <mergeCell ref="G7:G8"/>
    <mergeCell ref="H9:J9"/>
    <mergeCell ref="C7:F7"/>
    <mergeCell ref="C8:F8"/>
    <mergeCell ref="A10:J10"/>
    <mergeCell ref="A9:B9"/>
    <mergeCell ref="C9:F9"/>
    <mergeCell ref="B45:C45"/>
    <mergeCell ref="B46:C46"/>
    <mergeCell ref="B36:C38"/>
    <mergeCell ref="B39:C41"/>
    <mergeCell ref="B42:C42"/>
    <mergeCell ref="B43:C43"/>
    <mergeCell ref="B44:C44"/>
    <mergeCell ref="B24:C26"/>
    <mergeCell ref="B27:C29"/>
    <mergeCell ref="B30:C32"/>
    <mergeCell ref="B33:C35"/>
    <mergeCell ref="B12:C14"/>
    <mergeCell ref="B15:C17"/>
    <mergeCell ref="B18:C20"/>
    <mergeCell ref="B21:C23"/>
  </mergeCells>
  <pageMargins left="0.39370078740157483" right="0.23622047244094491" top="0.35433070866141736" bottom="0.11811023622047245" header="0.31496062992125984" footer="0.11811023622047245"/>
  <pageSetup paperSize="9" scale="80" fitToHeight="0" orientation="landscape" horizontalDpi="360" verticalDpi="360" r:id="rId1"/>
  <rowBreaks count="1" manualBreakCount="1">
    <brk id="32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95"/>
  <sheetViews>
    <sheetView view="pageBreakPreview" topLeftCell="A28" zoomScale="70" zoomScaleNormal="100" zoomScaleSheetLayoutView="70" workbookViewId="0">
      <selection activeCell="M4" sqref="M4"/>
    </sheetView>
  </sheetViews>
  <sheetFormatPr defaultRowHeight="15" x14ac:dyDescent="0.25"/>
  <cols>
    <col min="2" max="2" width="12.5703125" customWidth="1"/>
    <col min="3" max="3" width="11" customWidth="1"/>
    <col min="5" max="5" width="35.85546875" customWidth="1"/>
    <col min="6" max="6" width="16.140625" customWidth="1"/>
    <col min="7" max="7" width="13" customWidth="1"/>
    <col min="9" max="9" width="10.5703125" customWidth="1"/>
    <col min="10" max="10" width="21.7109375" customWidth="1"/>
  </cols>
  <sheetData>
    <row r="1" spans="1:24" ht="108" customHeight="1" x14ac:dyDescent="0.25">
      <c r="B1" s="910" t="s">
        <v>1151</v>
      </c>
      <c r="C1" s="911"/>
      <c r="D1" s="911"/>
      <c r="E1" s="911"/>
      <c r="F1" s="911"/>
      <c r="G1" s="911"/>
      <c r="H1" s="911"/>
      <c r="I1" s="911"/>
      <c r="J1" s="911"/>
    </row>
    <row r="2" spans="1:24" ht="21" customHeight="1" x14ac:dyDescent="0.25">
      <c r="A2" s="41"/>
      <c r="B2" s="982" t="s">
        <v>1154</v>
      </c>
      <c r="C2" s="982"/>
      <c r="D2" s="982"/>
      <c r="E2" s="982"/>
      <c r="F2" s="982"/>
      <c r="G2" s="982"/>
      <c r="H2" s="982"/>
      <c r="I2" s="982"/>
      <c r="J2" s="982"/>
    </row>
    <row r="3" spans="1:24" ht="21.75" customHeight="1" x14ac:dyDescent="0.25">
      <c r="A3" s="41"/>
      <c r="B3" s="911" t="s">
        <v>1156</v>
      </c>
      <c r="C3" s="911"/>
      <c r="D3" s="911"/>
      <c r="E3" s="911"/>
      <c r="F3" s="911"/>
      <c r="G3" s="911"/>
      <c r="H3" s="911"/>
      <c r="I3" s="911"/>
      <c r="J3" s="911"/>
    </row>
    <row r="4" spans="1:24" s="41" customFormat="1" ht="20.25" customHeight="1" x14ac:dyDescent="0.25">
      <c r="B4" s="993" t="s">
        <v>33</v>
      </c>
      <c r="C4" s="993"/>
      <c r="D4" s="907" t="str">
        <f>ORÇAMENTO!B4</f>
        <v>PREFEITURA MUNICIPAL DE BRASIL NOVO/PA</v>
      </c>
      <c r="E4" s="908"/>
      <c r="F4" s="909"/>
      <c r="G4" s="1012" t="s">
        <v>859</v>
      </c>
      <c r="H4" s="1013"/>
      <c r="I4" s="1009" t="str">
        <f>ORÇAMENTO!J4</f>
        <v>BRASIL NOVO/PA</v>
      </c>
      <c r="J4" s="909"/>
      <c r="K4"/>
      <c r="L4"/>
    </row>
    <row r="5" spans="1:24" s="41" customFormat="1" ht="22.5" customHeight="1" x14ac:dyDescent="0.25">
      <c r="B5" s="993" t="s">
        <v>860</v>
      </c>
      <c r="C5" s="993"/>
      <c r="D5" s="918" t="str">
        <f>ORÇAMENTO!B5</f>
        <v>CONSTRUÇÃO DE PRAÇA NO MUNICÍPIO DE BRASIL NOVO - PARÁ</v>
      </c>
      <c r="E5" s="919"/>
      <c r="F5" s="919"/>
      <c r="G5" s="919"/>
      <c r="H5" s="919"/>
      <c r="I5" s="919"/>
      <c r="J5" s="994"/>
      <c r="K5"/>
      <c r="L5"/>
    </row>
    <row r="6" spans="1:24" s="41" customFormat="1" ht="23.25" customHeight="1" x14ac:dyDescent="0.2">
      <c r="B6" s="993" t="s">
        <v>861</v>
      </c>
      <c r="C6" s="993"/>
      <c r="D6" s="907" t="str">
        <f>ORÇAMENTO!B6</f>
        <v>AVENIDA TRANSAMAZÔNICA S/N, BRASIL NOVO/PA</v>
      </c>
      <c r="E6" s="908"/>
      <c r="F6" s="908"/>
      <c r="G6" s="908"/>
      <c r="H6" s="908"/>
      <c r="I6" s="908"/>
      <c r="J6" s="909"/>
      <c r="K6" s="885"/>
    </row>
    <row r="7" spans="1:24" s="41" customFormat="1" ht="29.25" customHeight="1" x14ac:dyDescent="0.2">
      <c r="B7" s="1008" t="s">
        <v>80</v>
      </c>
      <c r="C7" s="1008"/>
      <c r="D7" s="1010">
        <f>ORÇAMENTO!B7</f>
        <v>0.29769428939090381</v>
      </c>
      <c r="E7" s="1011"/>
      <c r="F7" s="1017" t="s">
        <v>34</v>
      </c>
      <c r="G7" s="1018"/>
      <c r="H7" s="1014" t="str">
        <f>ORÇAMENTO!H7</f>
        <v>SINAPI FEVEREIRO 2022 - DESONERADA</v>
      </c>
      <c r="I7" s="1015"/>
      <c r="J7" s="1016"/>
      <c r="K7" s="886"/>
    </row>
    <row r="8" spans="1:24" s="41" customFormat="1" ht="34.5" customHeight="1" x14ac:dyDescent="0.2">
      <c r="B8" s="993" t="s">
        <v>1152</v>
      </c>
      <c r="C8" s="993"/>
      <c r="D8" s="918" t="str">
        <f>ORÇAMENTO!B8</f>
        <v>06 meses</v>
      </c>
      <c r="E8" s="994"/>
      <c r="F8" s="1019"/>
      <c r="G8" s="1020"/>
      <c r="H8" s="1014" t="str">
        <f>ORÇAMENTO!H8</f>
        <v>SEDOP FEVEREIRO 2022 - DESONERADA</v>
      </c>
      <c r="I8" s="1015"/>
      <c r="J8" s="1016"/>
      <c r="K8" s="886"/>
    </row>
    <row r="9" spans="1:24" s="41" customFormat="1" ht="22.5" customHeight="1" thickBot="1" x14ac:dyDescent="0.25">
      <c r="B9" s="993" t="s">
        <v>865</v>
      </c>
      <c r="C9" s="993"/>
      <c r="D9" s="995">
        <f>ORÇAMENTO!B9</f>
        <v>1202969.1098858207</v>
      </c>
      <c r="E9" s="996"/>
      <c r="F9" s="1029" t="s">
        <v>864</v>
      </c>
      <c r="G9" s="1030"/>
      <c r="H9" s="1031">
        <f>ORÇAMENTO!H9</f>
        <v>44749</v>
      </c>
      <c r="I9" s="1032"/>
      <c r="J9" s="1033"/>
      <c r="K9" s="887"/>
    </row>
    <row r="10" spans="1:24" ht="15.75" thickBot="1" x14ac:dyDescent="0.3">
      <c r="B10" s="431"/>
      <c r="C10" s="432"/>
      <c r="D10" s="432"/>
      <c r="E10" s="432"/>
      <c r="F10" s="432"/>
      <c r="G10" s="432"/>
      <c r="H10" s="432"/>
      <c r="I10" s="432"/>
      <c r="J10" s="433"/>
      <c r="Q10" s="20" t="s">
        <v>76</v>
      </c>
      <c r="R10" s="21"/>
      <c r="S10" s="21"/>
      <c r="T10" s="21"/>
      <c r="U10" s="21"/>
      <c r="V10" s="22" t="s">
        <v>77</v>
      </c>
      <c r="W10" s="22" t="s">
        <v>78</v>
      </c>
      <c r="X10" s="23" t="s">
        <v>79</v>
      </c>
    </row>
    <row r="11" spans="1:24" ht="15.75" thickBot="1" x14ac:dyDescent="0.3">
      <c r="B11" s="1040" t="s">
        <v>32</v>
      </c>
      <c r="C11" s="1041"/>
      <c r="D11" s="1041"/>
      <c r="E11" s="1041"/>
      <c r="F11" s="1041"/>
      <c r="G11" s="1041"/>
      <c r="H11" s="1041"/>
      <c r="I11" s="1041"/>
      <c r="J11" s="1042"/>
      <c r="Q11" s="24" t="s">
        <v>80</v>
      </c>
      <c r="R11" s="25"/>
      <c r="S11" s="25"/>
      <c r="T11" s="25"/>
      <c r="U11" s="26"/>
      <c r="V11" s="27">
        <v>0.28820000000000001</v>
      </c>
      <c r="W11" s="27">
        <v>0.32779999999999998</v>
      </c>
      <c r="X11" s="27">
        <v>0.37090000000000001</v>
      </c>
    </row>
    <row r="12" spans="1:24" ht="15.75" thickBot="1" x14ac:dyDescent="0.3">
      <c r="B12" s="1037"/>
      <c r="C12" s="1038"/>
      <c r="D12" s="1038"/>
      <c r="E12" s="1038"/>
      <c r="F12" s="1038"/>
      <c r="G12" s="1038"/>
      <c r="H12" s="1038"/>
      <c r="I12" s="1038"/>
      <c r="J12" s="1039"/>
      <c r="P12" s="28"/>
      <c r="Q12" s="1024" t="s">
        <v>37</v>
      </c>
      <c r="R12" s="1025"/>
      <c r="S12" s="1025"/>
      <c r="T12" s="1025"/>
      <c r="U12" s="1026"/>
      <c r="V12" s="29">
        <v>3</v>
      </c>
      <c r="W12" s="30">
        <v>4</v>
      </c>
      <c r="X12" s="31">
        <v>5.5</v>
      </c>
    </row>
    <row r="13" spans="1:24" ht="37.5" customHeight="1" thickBot="1" x14ac:dyDescent="0.3">
      <c r="B13" s="1043" t="s">
        <v>763</v>
      </c>
      <c r="C13" s="1044"/>
      <c r="D13" s="1044"/>
      <c r="E13" s="1044"/>
      <c r="F13" s="1044"/>
      <c r="G13" s="1044"/>
      <c r="H13" s="1044"/>
      <c r="I13" s="1044"/>
      <c r="J13" s="1045"/>
      <c r="Q13" s="1021" t="s">
        <v>38</v>
      </c>
      <c r="R13" s="1022"/>
      <c r="S13" s="1022"/>
      <c r="T13" s="1022"/>
      <c r="U13" s="1023"/>
      <c r="V13" s="32">
        <v>0.8</v>
      </c>
      <c r="W13" s="33">
        <v>0.8</v>
      </c>
      <c r="X13" s="34">
        <v>1</v>
      </c>
    </row>
    <row r="14" spans="1:24" ht="15.75" thickBot="1" x14ac:dyDescent="0.3">
      <c r="B14" s="443" t="s">
        <v>35</v>
      </c>
      <c r="C14" s="444" t="s">
        <v>36</v>
      </c>
      <c r="D14" s="16"/>
      <c r="E14" s="16"/>
      <c r="F14" s="16"/>
      <c r="G14" s="16"/>
      <c r="H14" s="16"/>
      <c r="I14" s="16"/>
      <c r="J14" s="445"/>
      <c r="Q14" s="1021" t="s">
        <v>39</v>
      </c>
      <c r="R14" s="1022"/>
      <c r="S14" s="1022"/>
      <c r="T14" s="1022"/>
      <c r="U14" s="1023"/>
      <c r="V14" s="32">
        <v>0.97</v>
      </c>
      <c r="W14" s="33">
        <v>1.27</v>
      </c>
      <c r="X14" s="35">
        <v>1.27</v>
      </c>
    </row>
    <row r="15" spans="1:24" x14ac:dyDescent="0.25">
      <c r="B15" s="446">
        <v>1</v>
      </c>
      <c r="C15" s="447" t="s">
        <v>37</v>
      </c>
      <c r="D15" s="448"/>
      <c r="E15" s="448"/>
      <c r="F15" s="448"/>
      <c r="G15" s="448"/>
      <c r="H15" s="448"/>
      <c r="I15" s="449"/>
      <c r="J15" s="450">
        <v>3.7999999999999999E-2</v>
      </c>
      <c r="Q15" s="1021" t="s">
        <v>40</v>
      </c>
      <c r="R15" s="1022"/>
      <c r="S15" s="1022"/>
      <c r="T15" s="1022"/>
      <c r="U15" s="1023"/>
      <c r="V15" s="32">
        <v>0.59</v>
      </c>
      <c r="W15" s="33">
        <v>1.23</v>
      </c>
      <c r="X15" s="34">
        <v>1.39</v>
      </c>
    </row>
    <row r="16" spans="1:24" x14ac:dyDescent="0.25">
      <c r="B16" s="451">
        <v>2</v>
      </c>
      <c r="C16" s="452" t="s">
        <v>38</v>
      </c>
      <c r="D16" s="16"/>
      <c r="E16" s="16"/>
      <c r="F16" s="16"/>
      <c r="G16" s="16"/>
      <c r="H16" s="16"/>
      <c r="I16" s="16"/>
      <c r="J16" s="453">
        <v>3.2000000000000002E-3</v>
      </c>
      <c r="Q16" s="1021" t="s">
        <v>42</v>
      </c>
      <c r="R16" s="1022"/>
      <c r="S16" s="1022"/>
      <c r="T16" s="1022"/>
      <c r="U16" s="1023"/>
      <c r="V16" s="32">
        <v>6.16</v>
      </c>
      <c r="W16" s="33">
        <v>7.4</v>
      </c>
      <c r="X16" s="34">
        <v>8.9600000000000009</v>
      </c>
    </row>
    <row r="17" spans="2:25" x14ac:dyDescent="0.25">
      <c r="B17" s="451">
        <v>3</v>
      </c>
      <c r="C17" s="452" t="s">
        <v>39</v>
      </c>
      <c r="D17" s="16"/>
      <c r="E17" s="16"/>
      <c r="F17" s="16"/>
      <c r="G17" s="16"/>
      <c r="H17" s="16"/>
      <c r="I17" s="454"/>
      <c r="J17" s="455">
        <v>5.0000000000000001E-3</v>
      </c>
      <c r="Q17" s="1021" t="s">
        <v>41</v>
      </c>
      <c r="R17" s="1022"/>
      <c r="S17" s="1022"/>
      <c r="T17" s="1022"/>
      <c r="U17" s="1023"/>
      <c r="V17" s="36">
        <v>13.15</v>
      </c>
      <c r="W17" s="37">
        <v>13.15</v>
      </c>
      <c r="X17" s="36">
        <v>13.15</v>
      </c>
      <c r="Y17" s="38"/>
    </row>
    <row r="18" spans="2:25" x14ac:dyDescent="0.25">
      <c r="B18" s="451">
        <v>4</v>
      </c>
      <c r="C18" s="452" t="s">
        <v>40</v>
      </c>
      <c r="D18" s="16"/>
      <c r="E18" s="16"/>
      <c r="F18" s="16"/>
      <c r="G18" s="16"/>
      <c r="H18" s="16"/>
      <c r="I18" s="454"/>
      <c r="J18" s="453">
        <v>1.0200000000000001E-2</v>
      </c>
    </row>
    <row r="19" spans="2:25" x14ac:dyDescent="0.25">
      <c r="B19" s="451">
        <v>5</v>
      </c>
      <c r="C19" s="452" t="s">
        <v>42</v>
      </c>
      <c r="D19" s="16"/>
      <c r="E19" s="16"/>
      <c r="F19" s="16"/>
      <c r="G19" s="16"/>
      <c r="H19" s="16"/>
      <c r="I19" s="454"/>
      <c r="J19" s="453">
        <v>6.6400000000000001E-2</v>
      </c>
    </row>
    <row r="20" spans="2:25" ht="15.75" thickBot="1" x14ac:dyDescent="0.3">
      <c r="B20" s="456">
        <v>6</v>
      </c>
      <c r="C20" s="457" t="s">
        <v>41</v>
      </c>
      <c r="D20" s="458"/>
      <c r="E20" s="458"/>
      <c r="F20" s="458"/>
      <c r="G20" s="458"/>
      <c r="H20" s="458"/>
      <c r="I20" s="459"/>
      <c r="J20" s="460">
        <f>J27</f>
        <v>0.13150000000000001</v>
      </c>
    </row>
    <row r="21" spans="2:25" x14ac:dyDescent="0.25">
      <c r="B21" s="461"/>
      <c r="C21" s="16"/>
      <c r="D21" s="16"/>
      <c r="E21" s="16"/>
      <c r="F21" s="16"/>
      <c r="G21" s="16"/>
      <c r="H21" s="16"/>
      <c r="I21" s="16"/>
      <c r="J21" s="462"/>
    </row>
    <row r="22" spans="2:25" ht="15.75" thickBot="1" x14ac:dyDescent="0.3">
      <c r="B22" s="443" t="s">
        <v>35</v>
      </c>
      <c r="C22" s="444" t="s">
        <v>43</v>
      </c>
      <c r="D22" s="16"/>
      <c r="E22" s="16"/>
      <c r="F22" s="16"/>
      <c r="G22" s="16"/>
      <c r="H22" s="16"/>
      <c r="I22" s="16"/>
      <c r="J22" s="462"/>
    </row>
    <row r="23" spans="2:25" x14ac:dyDescent="0.25">
      <c r="B23" s="446" t="s">
        <v>24</v>
      </c>
      <c r="C23" s="447" t="s">
        <v>28</v>
      </c>
      <c r="D23" s="448"/>
      <c r="E23" s="448"/>
      <c r="F23" s="448"/>
      <c r="G23" s="448"/>
      <c r="H23" s="448"/>
      <c r="I23" s="448"/>
      <c r="J23" s="450">
        <v>0.05</v>
      </c>
    </row>
    <row r="24" spans="2:25" x14ac:dyDescent="0.25">
      <c r="B24" s="451" t="s">
        <v>14</v>
      </c>
      <c r="C24" s="452" t="s">
        <v>26</v>
      </c>
      <c r="D24" s="16"/>
      <c r="E24" s="16"/>
      <c r="F24" s="16"/>
      <c r="G24" s="16"/>
      <c r="H24" s="16"/>
      <c r="I24" s="16"/>
      <c r="J24" s="453">
        <v>6.4999999999999997E-3</v>
      </c>
    </row>
    <row r="25" spans="2:25" x14ac:dyDescent="0.25">
      <c r="B25" s="451" t="s">
        <v>25</v>
      </c>
      <c r="C25" s="452" t="s">
        <v>27</v>
      </c>
      <c r="D25" s="16"/>
      <c r="E25" s="16"/>
      <c r="F25" s="16"/>
      <c r="G25" s="16"/>
      <c r="H25" s="16"/>
      <c r="I25" s="16"/>
      <c r="J25" s="453">
        <v>0.03</v>
      </c>
    </row>
    <row r="26" spans="2:25" ht="15.75" thickBot="1" x14ac:dyDescent="0.3">
      <c r="B26" s="451" t="s">
        <v>44</v>
      </c>
      <c r="C26" s="452" t="s">
        <v>761</v>
      </c>
      <c r="D26" s="16"/>
      <c r="E26" s="16"/>
      <c r="F26" s="16"/>
      <c r="G26" s="16"/>
      <c r="H26" s="16"/>
      <c r="I26" s="16"/>
      <c r="J26" s="460">
        <v>4.4999999999999998E-2</v>
      </c>
    </row>
    <row r="27" spans="2:25" ht="15.75" thickBot="1" x14ac:dyDescent="0.3">
      <c r="B27" s="334"/>
      <c r="C27" s="335"/>
      <c r="D27" s="335"/>
      <c r="E27" s="335"/>
      <c r="F27" s="335"/>
      <c r="G27" s="335"/>
      <c r="H27" s="1003" t="s">
        <v>45</v>
      </c>
      <c r="I27" s="1004"/>
      <c r="J27" s="336">
        <f>SUM(J23:J26)</f>
        <v>0.13150000000000001</v>
      </c>
    </row>
    <row r="28" spans="2:25" ht="15.75" thickBot="1" x14ac:dyDescent="0.3">
      <c r="B28" s="1005" t="s">
        <v>46</v>
      </c>
      <c r="C28" s="1006"/>
      <c r="D28" s="1006"/>
      <c r="E28" s="1006"/>
      <c r="F28" s="1006"/>
      <c r="G28" s="1006"/>
      <c r="H28" s="1006"/>
      <c r="I28" s="1006"/>
      <c r="J28" s="1007"/>
    </row>
    <row r="29" spans="2:25" ht="55.15" customHeight="1" thickBot="1" x14ac:dyDescent="0.3">
      <c r="B29" s="1034"/>
      <c r="C29" s="1035"/>
      <c r="D29" s="1035"/>
      <c r="E29" s="1035"/>
      <c r="F29" s="1035"/>
      <c r="G29" s="1035"/>
      <c r="H29" s="1035"/>
      <c r="I29" s="1036"/>
      <c r="J29" s="331">
        <f>(((1+J15+J16+J17)*(1+J18)*(1+J19))/(1-J20))-1</f>
        <v>0.29769428939090381</v>
      </c>
    </row>
    <row r="30" spans="2:25" ht="9" customHeight="1" x14ac:dyDescent="0.25">
      <c r="B30" s="434"/>
      <c r="C30" s="16"/>
      <c r="D30" s="16"/>
      <c r="E30" s="16"/>
      <c r="F30" s="16"/>
      <c r="G30" s="16"/>
      <c r="H30" s="16"/>
      <c r="I30" s="16"/>
      <c r="J30" s="435"/>
    </row>
    <row r="31" spans="2:25" ht="15" customHeight="1" x14ac:dyDescent="0.25">
      <c r="B31" s="436" t="s">
        <v>47</v>
      </c>
      <c r="C31" s="16"/>
      <c r="D31" s="16"/>
      <c r="E31" s="16"/>
      <c r="F31" s="16"/>
      <c r="G31" s="16"/>
      <c r="H31" s="16"/>
      <c r="I31" s="16"/>
      <c r="J31" s="437"/>
    </row>
    <row r="32" spans="2:25" ht="28.5" customHeight="1" x14ac:dyDescent="0.25">
      <c r="B32" s="997" t="s">
        <v>48</v>
      </c>
      <c r="C32" s="998"/>
      <c r="D32" s="998"/>
      <c r="E32" s="998"/>
      <c r="F32" s="998"/>
      <c r="G32" s="998"/>
      <c r="H32" s="998"/>
      <c r="I32" s="998"/>
      <c r="J32" s="999"/>
    </row>
    <row r="33" spans="2:10" ht="19.5" customHeight="1" x14ac:dyDescent="0.25">
      <c r="B33" s="997" t="s">
        <v>49</v>
      </c>
      <c r="C33" s="998"/>
      <c r="D33" s="998"/>
      <c r="E33" s="998"/>
      <c r="F33" s="998"/>
      <c r="G33" s="998"/>
      <c r="H33" s="998"/>
      <c r="I33" s="998"/>
      <c r="J33" s="999"/>
    </row>
    <row r="34" spans="2:10" ht="19.5" customHeight="1" x14ac:dyDescent="0.25">
      <c r="B34" s="997" t="s">
        <v>50</v>
      </c>
      <c r="C34" s="998"/>
      <c r="D34" s="998"/>
      <c r="E34" s="998"/>
      <c r="F34" s="998"/>
      <c r="G34" s="998"/>
      <c r="H34" s="998"/>
      <c r="I34" s="998"/>
      <c r="J34" s="999"/>
    </row>
    <row r="35" spans="2:10" ht="31.5" customHeight="1" x14ac:dyDescent="0.25">
      <c r="B35" s="1000" t="s">
        <v>51</v>
      </c>
      <c r="C35" s="1001"/>
      <c r="D35" s="1001"/>
      <c r="E35" s="1001"/>
      <c r="F35" s="1001"/>
      <c r="G35" s="1001"/>
      <c r="H35" s="1001"/>
      <c r="I35" s="1001"/>
      <c r="J35" s="1002"/>
    </row>
    <row r="36" spans="2:10" ht="46.5" customHeight="1" x14ac:dyDescent="0.25">
      <c r="B36" s="997" t="s">
        <v>762</v>
      </c>
      <c r="C36" s="998"/>
      <c r="D36" s="998"/>
      <c r="E36" s="998"/>
      <c r="F36" s="998"/>
      <c r="G36" s="998"/>
      <c r="H36" s="998"/>
      <c r="I36" s="998"/>
      <c r="J36" s="999"/>
    </row>
    <row r="37" spans="2:10" ht="9" customHeight="1" thickBot="1" x14ac:dyDescent="0.3">
      <c r="B37" s="434"/>
      <c r="C37" s="16"/>
      <c r="D37" s="16"/>
      <c r="E37" s="16"/>
      <c r="F37" s="16"/>
      <c r="G37" s="16"/>
      <c r="H37" s="16"/>
      <c r="I37" s="16"/>
      <c r="J37" s="437"/>
    </row>
    <row r="38" spans="2:10" x14ac:dyDescent="0.25">
      <c r="B38" s="438"/>
      <c r="C38" s="439"/>
      <c r="D38" s="439"/>
      <c r="E38" s="439"/>
      <c r="F38" s="439"/>
      <c r="G38" s="439"/>
      <c r="H38" s="439"/>
      <c r="I38" s="439"/>
      <c r="J38" s="440"/>
    </row>
    <row r="39" spans="2:10" x14ac:dyDescent="0.25">
      <c r="B39" s="613"/>
      <c r="C39" s="16"/>
      <c r="D39" s="16"/>
      <c r="E39" s="16"/>
      <c r="F39" s="16"/>
      <c r="G39" s="16"/>
      <c r="H39" s="16"/>
      <c r="I39" s="16"/>
      <c r="J39" s="437"/>
    </row>
    <row r="40" spans="2:10" ht="22.15" customHeight="1" x14ac:dyDescent="0.25">
      <c r="B40" s="441"/>
      <c r="C40" s="442"/>
      <c r="D40" s="442"/>
      <c r="E40" s="333" t="s">
        <v>764</v>
      </c>
      <c r="F40" s="333"/>
      <c r="G40" s="333"/>
      <c r="H40" s="333"/>
      <c r="I40" s="333"/>
      <c r="J40" s="332"/>
    </row>
    <row r="41" spans="2:10" x14ac:dyDescent="0.25">
      <c r="B41" s="990"/>
      <c r="C41" s="991"/>
      <c r="D41" s="991"/>
      <c r="E41" s="991"/>
      <c r="F41" s="991"/>
      <c r="G41" s="991"/>
      <c r="H41" s="991"/>
      <c r="I41" s="991"/>
      <c r="J41" s="992"/>
    </row>
    <row r="42" spans="2:10" ht="15.75" thickBot="1" x14ac:dyDescent="0.3">
      <c r="B42" s="987"/>
      <c r="C42" s="988"/>
      <c r="D42" s="988"/>
      <c r="E42" s="988"/>
      <c r="F42" s="988"/>
      <c r="G42" s="988"/>
      <c r="H42" s="988"/>
      <c r="I42" s="988"/>
      <c r="J42" s="989"/>
    </row>
    <row r="43" spans="2:10" x14ac:dyDescent="0.25">
      <c r="B43" s="6"/>
      <c r="C43" s="6"/>
      <c r="D43" s="6"/>
      <c r="E43" s="6"/>
      <c r="F43" s="6"/>
      <c r="G43" s="6"/>
      <c r="H43" s="6"/>
      <c r="I43" s="6"/>
      <c r="J43" s="6"/>
    </row>
    <row r="44" spans="2:10" x14ac:dyDescent="0.25">
      <c r="B44" s="1027" t="s">
        <v>1148</v>
      </c>
      <c r="C44" s="1028"/>
      <c r="D44" s="1028"/>
      <c r="E44" s="1028"/>
      <c r="F44" s="1028"/>
      <c r="G44" s="1028"/>
      <c r="H44" s="1028"/>
      <c r="I44" s="1028"/>
      <c r="J44" s="1028"/>
    </row>
    <row r="45" spans="2:10" ht="15" customHeight="1" x14ac:dyDescent="0.25">
      <c r="B45" s="986" t="s">
        <v>1126</v>
      </c>
      <c r="C45" s="986"/>
      <c r="D45" s="986"/>
      <c r="E45" s="986"/>
      <c r="F45" s="986"/>
      <c r="G45" s="986"/>
      <c r="H45" s="986"/>
      <c r="I45" s="986"/>
      <c r="J45" s="986"/>
    </row>
    <row r="46" spans="2:10" x14ac:dyDescent="0.25">
      <c r="B46" s="986"/>
      <c r="C46" s="986"/>
      <c r="D46" s="986"/>
      <c r="E46" s="986"/>
      <c r="F46" s="986"/>
      <c r="G46" s="986"/>
      <c r="H46" s="986"/>
      <c r="I46" s="986"/>
      <c r="J46" s="986"/>
    </row>
    <row r="47" spans="2:10" x14ac:dyDescent="0.25">
      <c r="B47" s="986"/>
      <c r="C47" s="986"/>
      <c r="D47" s="986"/>
      <c r="E47" s="986"/>
      <c r="F47" s="986"/>
      <c r="G47" s="986"/>
      <c r="H47" s="986"/>
      <c r="I47" s="986"/>
      <c r="J47" s="986"/>
    </row>
    <row r="48" spans="2:10" x14ac:dyDescent="0.25">
      <c r="B48" s="986"/>
      <c r="C48" s="986"/>
      <c r="D48" s="986"/>
      <c r="E48" s="986"/>
      <c r="F48" s="986"/>
      <c r="G48" s="986"/>
      <c r="H48" s="986"/>
      <c r="I48" s="986"/>
      <c r="J48" s="986"/>
    </row>
    <row r="49" spans="2:10" x14ac:dyDescent="0.25">
      <c r="B49" s="986"/>
      <c r="C49" s="986"/>
      <c r="D49" s="986"/>
      <c r="E49" s="986"/>
      <c r="F49" s="986"/>
      <c r="G49" s="986"/>
      <c r="H49" s="986"/>
      <c r="I49" s="986"/>
      <c r="J49" s="986"/>
    </row>
    <row r="50" spans="2:10" x14ac:dyDescent="0.25">
      <c r="B50" s="986"/>
      <c r="C50" s="986"/>
      <c r="D50" s="986"/>
      <c r="E50" s="986"/>
      <c r="F50" s="986"/>
      <c r="G50" s="986"/>
      <c r="H50" s="986"/>
      <c r="I50" s="986"/>
      <c r="J50" s="986"/>
    </row>
    <row r="51" spans="2:10" x14ac:dyDescent="0.25">
      <c r="B51" s="986"/>
      <c r="C51" s="986"/>
      <c r="D51" s="986"/>
      <c r="E51" s="986"/>
      <c r="F51" s="986"/>
      <c r="G51" s="986"/>
      <c r="H51" s="986"/>
      <c r="I51" s="986"/>
      <c r="J51" s="986"/>
    </row>
    <row r="52" spans="2:10" x14ac:dyDescent="0.25">
      <c r="B52" s="986"/>
      <c r="C52" s="986"/>
      <c r="D52" s="986"/>
      <c r="E52" s="986"/>
      <c r="F52" s="986"/>
      <c r="G52" s="986"/>
      <c r="H52" s="986"/>
      <c r="I52" s="986"/>
      <c r="J52" s="986"/>
    </row>
    <row r="53" spans="2:10" x14ac:dyDescent="0.25">
      <c r="B53" s="986"/>
      <c r="C53" s="986"/>
      <c r="D53" s="986"/>
      <c r="E53" s="986"/>
      <c r="F53" s="986"/>
      <c r="G53" s="986"/>
      <c r="H53" s="986"/>
      <c r="I53" s="986"/>
      <c r="J53" s="986"/>
    </row>
    <row r="54" spans="2:10" x14ac:dyDescent="0.25">
      <c r="B54" s="6"/>
      <c r="C54" s="6"/>
      <c r="D54" s="6"/>
      <c r="E54" s="6"/>
      <c r="F54" s="6"/>
      <c r="G54" s="6"/>
      <c r="H54" s="6"/>
      <c r="I54" s="6"/>
      <c r="J54" s="6"/>
    </row>
    <row r="55" spans="2:10" x14ac:dyDescent="0.25">
      <c r="B55" s="6"/>
      <c r="C55" s="6"/>
      <c r="D55" s="6"/>
      <c r="E55" s="6"/>
      <c r="F55" s="6"/>
      <c r="G55" s="6"/>
      <c r="H55" s="6"/>
      <c r="I55" s="6"/>
      <c r="J55" s="6"/>
    </row>
    <row r="56" spans="2:10" x14ac:dyDescent="0.25">
      <c r="B56" s="6"/>
      <c r="C56" s="6"/>
      <c r="D56" s="6"/>
      <c r="E56" s="6"/>
      <c r="F56" s="6"/>
      <c r="G56" s="6"/>
      <c r="H56" s="6"/>
      <c r="I56" s="6"/>
      <c r="J56" s="6"/>
    </row>
    <row r="57" spans="2:10" x14ac:dyDescent="0.25">
      <c r="B57" s="6"/>
      <c r="C57" s="6"/>
      <c r="D57" s="6"/>
      <c r="E57" s="6"/>
      <c r="F57" s="6"/>
      <c r="G57" s="6"/>
      <c r="H57" s="6"/>
      <c r="I57" s="6"/>
      <c r="J57" s="6"/>
    </row>
    <row r="58" spans="2:10" x14ac:dyDescent="0.25">
      <c r="B58" s="6"/>
      <c r="C58" s="6"/>
      <c r="D58" s="6"/>
      <c r="E58" s="6"/>
      <c r="F58" s="6"/>
      <c r="G58" s="6"/>
      <c r="H58" s="6"/>
      <c r="I58" s="6"/>
      <c r="J58" s="6"/>
    </row>
    <row r="59" spans="2:10" x14ac:dyDescent="0.25">
      <c r="B59" s="6"/>
      <c r="C59" s="6"/>
      <c r="D59" s="6"/>
      <c r="E59" s="6"/>
      <c r="F59" s="6"/>
      <c r="G59" s="6"/>
      <c r="H59" s="6"/>
      <c r="I59" s="6"/>
      <c r="J59" s="6"/>
    </row>
    <row r="60" spans="2:10" x14ac:dyDescent="0.25">
      <c r="B60" s="6"/>
      <c r="C60" s="6"/>
      <c r="D60" s="6"/>
      <c r="E60" s="6"/>
      <c r="F60" s="6"/>
      <c r="G60" s="6"/>
      <c r="H60" s="6"/>
      <c r="I60" s="6"/>
      <c r="J60" s="6"/>
    </row>
    <row r="61" spans="2:10" x14ac:dyDescent="0.25">
      <c r="B61" s="6"/>
      <c r="C61" s="6"/>
      <c r="D61" s="6"/>
      <c r="E61" s="6"/>
      <c r="F61" s="6"/>
      <c r="G61" s="6"/>
      <c r="H61" s="6"/>
      <c r="I61" s="6"/>
      <c r="J61" s="6"/>
    </row>
    <row r="62" spans="2:10" x14ac:dyDescent="0.25">
      <c r="B62" s="6"/>
      <c r="C62" s="6"/>
      <c r="D62" s="6"/>
      <c r="E62" s="6"/>
      <c r="F62" s="6"/>
      <c r="G62" s="6"/>
      <c r="H62" s="6"/>
      <c r="I62" s="6"/>
      <c r="J62" s="6"/>
    </row>
    <row r="63" spans="2:10" x14ac:dyDescent="0.25">
      <c r="B63" s="6"/>
      <c r="C63" s="6"/>
      <c r="D63" s="6"/>
      <c r="E63" s="6"/>
      <c r="F63" s="6"/>
      <c r="G63" s="6"/>
      <c r="H63" s="6"/>
      <c r="I63" s="6"/>
      <c r="J63" s="6"/>
    </row>
    <row r="64" spans="2:10" x14ac:dyDescent="0.25">
      <c r="B64" s="6"/>
      <c r="C64" s="6"/>
      <c r="D64" s="6"/>
      <c r="E64" s="6"/>
      <c r="F64" s="6"/>
      <c r="G64" s="6"/>
      <c r="H64" s="6"/>
      <c r="I64" s="6"/>
      <c r="J64" s="6"/>
    </row>
    <row r="65" spans="2:10" x14ac:dyDescent="0.25">
      <c r="B65" s="6"/>
      <c r="C65" s="6"/>
      <c r="D65" s="6"/>
      <c r="E65" s="6"/>
      <c r="F65" s="6"/>
      <c r="G65" s="6"/>
      <c r="H65" s="6"/>
      <c r="I65" s="6"/>
      <c r="J65" s="6"/>
    </row>
    <row r="66" spans="2:10" x14ac:dyDescent="0.25">
      <c r="B66" s="6"/>
      <c r="C66" s="6"/>
      <c r="D66" s="6"/>
      <c r="E66" s="6"/>
      <c r="F66" s="6"/>
      <c r="G66" s="6"/>
      <c r="H66" s="6"/>
      <c r="I66" s="6"/>
      <c r="J66" s="6"/>
    </row>
    <row r="67" spans="2:10" x14ac:dyDescent="0.25">
      <c r="B67" s="6"/>
      <c r="C67" s="6"/>
      <c r="D67" s="6"/>
      <c r="E67" s="6"/>
      <c r="F67" s="6"/>
      <c r="G67" s="6"/>
      <c r="H67" s="6"/>
      <c r="I67" s="6"/>
      <c r="J67" s="6"/>
    </row>
    <row r="68" spans="2:10" x14ac:dyDescent="0.25">
      <c r="B68" s="6"/>
      <c r="C68" s="6"/>
      <c r="D68" s="6"/>
      <c r="E68" s="6"/>
      <c r="F68" s="6"/>
      <c r="G68" s="6"/>
      <c r="H68" s="6"/>
      <c r="I68" s="6"/>
      <c r="J68" s="6"/>
    </row>
    <row r="69" spans="2:10" x14ac:dyDescent="0.25">
      <c r="B69" s="6"/>
      <c r="C69" s="6"/>
      <c r="D69" s="6"/>
      <c r="E69" s="6"/>
      <c r="F69" s="6"/>
      <c r="G69" s="6"/>
      <c r="H69" s="6"/>
      <c r="I69" s="6"/>
      <c r="J69" s="6"/>
    </row>
    <row r="70" spans="2:10" x14ac:dyDescent="0.25">
      <c r="B70" s="6"/>
      <c r="C70" s="6"/>
      <c r="D70" s="6"/>
      <c r="E70" s="6"/>
      <c r="F70" s="6"/>
      <c r="G70" s="6"/>
      <c r="H70" s="6"/>
      <c r="I70" s="6"/>
      <c r="J70" s="6"/>
    </row>
    <row r="71" spans="2:10" x14ac:dyDescent="0.25">
      <c r="B71" s="6"/>
      <c r="C71" s="6"/>
      <c r="D71" s="6"/>
      <c r="E71" s="6"/>
      <c r="F71" s="6"/>
      <c r="G71" s="6"/>
      <c r="H71" s="6"/>
      <c r="I71" s="6"/>
      <c r="J71" s="6"/>
    </row>
    <row r="72" spans="2:10" x14ac:dyDescent="0.25">
      <c r="B72" s="6"/>
      <c r="C72" s="6"/>
      <c r="D72" s="6"/>
      <c r="E72" s="6"/>
      <c r="F72" s="6"/>
      <c r="G72" s="6"/>
      <c r="H72" s="6"/>
      <c r="I72" s="6"/>
      <c r="J72" s="6"/>
    </row>
    <row r="73" spans="2:10" x14ac:dyDescent="0.25">
      <c r="B73" s="6"/>
      <c r="C73" s="6"/>
      <c r="D73" s="6"/>
      <c r="E73" s="6"/>
      <c r="F73" s="6"/>
      <c r="G73" s="6"/>
      <c r="H73" s="6"/>
      <c r="I73" s="6"/>
      <c r="J73" s="6"/>
    </row>
    <row r="74" spans="2:10" x14ac:dyDescent="0.25">
      <c r="B74" s="6"/>
      <c r="C74" s="6"/>
      <c r="D74" s="6"/>
      <c r="E74" s="6"/>
      <c r="F74" s="6"/>
      <c r="G74" s="6"/>
      <c r="H74" s="6"/>
      <c r="I74" s="6"/>
      <c r="J74" s="6"/>
    </row>
    <row r="75" spans="2:10" x14ac:dyDescent="0.25">
      <c r="B75" s="6"/>
      <c r="C75" s="6"/>
      <c r="D75" s="6"/>
      <c r="E75" s="6"/>
      <c r="F75" s="6"/>
      <c r="G75" s="6"/>
      <c r="H75" s="6"/>
      <c r="I75" s="6"/>
      <c r="J75" s="6"/>
    </row>
    <row r="76" spans="2:10" x14ac:dyDescent="0.25">
      <c r="B76" s="6"/>
      <c r="C76" s="6"/>
      <c r="D76" s="6"/>
      <c r="E76" s="6"/>
      <c r="F76" s="6"/>
      <c r="G76" s="6"/>
      <c r="H76" s="6"/>
      <c r="I76" s="6"/>
      <c r="J76" s="6"/>
    </row>
    <row r="77" spans="2:10" x14ac:dyDescent="0.25">
      <c r="B77" s="6"/>
      <c r="C77" s="6"/>
      <c r="D77" s="6"/>
      <c r="E77" s="6"/>
      <c r="F77" s="6"/>
      <c r="G77" s="6"/>
      <c r="H77" s="6"/>
      <c r="I77" s="6"/>
      <c r="J77" s="6"/>
    </row>
    <row r="78" spans="2:10" x14ac:dyDescent="0.25">
      <c r="B78" s="6"/>
      <c r="C78" s="6"/>
      <c r="D78" s="6"/>
      <c r="E78" s="6"/>
      <c r="F78" s="6"/>
      <c r="G78" s="6"/>
      <c r="H78" s="6"/>
      <c r="I78" s="6"/>
      <c r="J78" s="6"/>
    </row>
    <row r="79" spans="2:10" x14ac:dyDescent="0.25">
      <c r="B79" s="6"/>
      <c r="C79" s="6"/>
      <c r="D79" s="6"/>
      <c r="E79" s="6"/>
      <c r="F79" s="6"/>
      <c r="G79" s="6"/>
      <c r="H79" s="6"/>
      <c r="I79" s="6"/>
      <c r="J79" s="6"/>
    </row>
    <row r="80" spans="2:10" x14ac:dyDescent="0.25">
      <c r="B80" s="6"/>
      <c r="C80" s="6"/>
      <c r="D80" s="6"/>
      <c r="E80" s="6"/>
      <c r="F80" s="6"/>
      <c r="G80" s="6"/>
      <c r="H80" s="6"/>
      <c r="I80" s="6"/>
      <c r="J80" s="6"/>
    </row>
    <row r="81" spans="2:10" x14ac:dyDescent="0.25">
      <c r="B81" s="6"/>
      <c r="C81" s="6"/>
      <c r="D81" s="6"/>
      <c r="E81" s="6"/>
      <c r="F81" s="6"/>
      <c r="G81" s="6"/>
      <c r="H81" s="6"/>
      <c r="I81" s="6"/>
      <c r="J81" s="6"/>
    </row>
    <row r="82" spans="2:10" x14ac:dyDescent="0.25">
      <c r="B82" s="6"/>
      <c r="C82" s="6"/>
      <c r="D82" s="6"/>
      <c r="E82" s="6"/>
      <c r="F82" s="6"/>
      <c r="G82" s="6"/>
      <c r="H82" s="6"/>
      <c r="I82" s="6"/>
      <c r="J82" s="6"/>
    </row>
    <row r="83" spans="2:10" x14ac:dyDescent="0.25">
      <c r="B83" s="6"/>
      <c r="C83" s="6"/>
      <c r="D83" s="6"/>
      <c r="E83" s="6"/>
      <c r="F83" s="6"/>
      <c r="G83" s="6"/>
      <c r="H83" s="6"/>
      <c r="I83" s="6"/>
      <c r="J83" s="6"/>
    </row>
    <row r="84" spans="2:10" x14ac:dyDescent="0.25">
      <c r="B84" s="6"/>
      <c r="C84" s="6"/>
      <c r="D84" s="6"/>
      <c r="E84" s="6"/>
      <c r="F84" s="6"/>
      <c r="G84" s="6"/>
      <c r="H84" s="6"/>
      <c r="I84" s="6"/>
      <c r="J84" s="6"/>
    </row>
    <row r="85" spans="2:10" x14ac:dyDescent="0.25">
      <c r="B85" s="6"/>
      <c r="C85" s="6"/>
      <c r="D85" s="6"/>
      <c r="E85" s="6"/>
      <c r="F85" s="6"/>
      <c r="G85" s="6"/>
      <c r="H85" s="6"/>
      <c r="I85" s="6"/>
      <c r="J85" s="6"/>
    </row>
    <row r="86" spans="2:10" x14ac:dyDescent="0.25">
      <c r="B86" s="6"/>
      <c r="C86" s="6"/>
      <c r="D86" s="6"/>
      <c r="E86" s="6"/>
      <c r="F86" s="6"/>
      <c r="G86" s="6"/>
      <c r="H86" s="6"/>
      <c r="I86" s="6"/>
      <c r="J86" s="6"/>
    </row>
    <row r="87" spans="2:10" x14ac:dyDescent="0.25">
      <c r="B87" s="6"/>
      <c r="C87" s="6"/>
      <c r="D87" s="6"/>
      <c r="E87" s="6"/>
      <c r="F87" s="6"/>
      <c r="G87" s="6"/>
      <c r="H87" s="6"/>
      <c r="I87" s="6"/>
      <c r="J87" s="6"/>
    </row>
    <row r="88" spans="2:10" x14ac:dyDescent="0.25">
      <c r="B88" s="6"/>
      <c r="C88" s="6"/>
      <c r="D88" s="6"/>
      <c r="E88" s="6"/>
      <c r="F88" s="6"/>
      <c r="G88" s="6"/>
      <c r="H88" s="6"/>
      <c r="I88" s="6"/>
      <c r="J88" s="6"/>
    </row>
    <row r="89" spans="2:10" x14ac:dyDescent="0.25">
      <c r="B89" s="6"/>
      <c r="C89" s="6"/>
      <c r="D89" s="6"/>
      <c r="E89" s="6"/>
      <c r="F89" s="6"/>
      <c r="G89" s="6"/>
      <c r="H89" s="6"/>
      <c r="I89" s="6"/>
      <c r="J89" s="6"/>
    </row>
    <row r="90" spans="2:10" x14ac:dyDescent="0.25">
      <c r="B90" s="6"/>
      <c r="C90" s="6"/>
      <c r="D90" s="6"/>
      <c r="E90" s="6"/>
      <c r="F90" s="6"/>
      <c r="G90" s="6"/>
      <c r="H90" s="6"/>
      <c r="I90" s="6"/>
      <c r="J90" s="6"/>
    </row>
    <row r="91" spans="2:10" x14ac:dyDescent="0.25">
      <c r="B91" s="6"/>
      <c r="C91" s="6"/>
      <c r="D91" s="6"/>
      <c r="E91" s="6"/>
      <c r="F91" s="6"/>
      <c r="G91" s="6"/>
      <c r="H91" s="6"/>
      <c r="I91" s="6"/>
      <c r="J91" s="6"/>
    </row>
    <row r="92" spans="2:10" x14ac:dyDescent="0.25">
      <c r="B92" s="6"/>
      <c r="C92" s="6"/>
      <c r="D92" s="6"/>
      <c r="E92" s="6"/>
      <c r="F92" s="6"/>
      <c r="G92" s="6"/>
      <c r="H92" s="6"/>
      <c r="I92" s="6"/>
      <c r="J92" s="6"/>
    </row>
    <row r="93" spans="2:10" x14ac:dyDescent="0.25">
      <c r="B93" s="6"/>
      <c r="C93" s="6"/>
      <c r="D93" s="6"/>
      <c r="E93" s="6"/>
      <c r="F93" s="6"/>
      <c r="G93" s="6"/>
      <c r="H93" s="6"/>
      <c r="I93" s="6"/>
      <c r="J93" s="6"/>
    </row>
    <row r="94" spans="2:10" x14ac:dyDescent="0.25">
      <c r="B94" s="6"/>
      <c r="C94" s="6"/>
      <c r="D94" s="6"/>
      <c r="E94" s="6"/>
      <c r="F94" s="6"/>
      <c r="G94" s="6"/>
      <c r="H94" s="6"/>
      <c r="I94" s="6"/>
      <c r="J94" s="6"/>
    </row>
    <row r="95" spans="2:10" x14ac:dyDescent="0.25">
      <c r="B95" s="6"/>
      <c r="C95" s="6"/>
      <c r="D95" s="6"/>
      <c r="E95" s="6"/>
      <c r="F95" s="6"/>
      <c r="G95" s="6"/>
      <c r="H95" s="6"/>
      <c r="I95" s="6"/>
      <c r="J95" s="6"/>
    </row>
  </sheetData>
  <mergeCells count="43">
    <mergeCell ref="H9:J9"/>
    <mergeCell ref="B29:I29"/>
    <mergeCell ref="B12:J12"/>
    <mergeCell ref="B11:J11"/>
    <mergeCell ref="B13:J13"/>
    <mergeCell ref="Q17:U17"/>
    <mergeCell ref="Q12:U12"/>
    <mergeCell ref="Q13:U13"/>
    <mergeCell ref="Q14:U14"/>
    <mergeCell ref="Q15:U15"/>
    <mergeCell ref="Q16:U16"/>
    <mergeCell ref="B1:J1"/>
    <mergeCell ref="B4:C4"/>
    <mergeCell ref="B5:C5"/>
    <mergeCell ref="B6:C6"/>
    <mergeCell ref="B7:C7"/>
    <mergeCell ref="D4:F4"/>
    <mergeCell ref="I4:J4"/>
    <mergeCell ref="D5:J5"/>
    <mergeCell ref="D6:J6"/>
    <mergeCell ref="D7:E7"/>
    <mergeCell ref="G4:H4"/>
    <mergeCell ref="H7:J7"/>
    <mergeCell ref="F7:G8"/>
    <mergeCell ref="B2:J2"/>
    <mergeCell ref="B3:J3"/>
    <mergeCell ref="H8:J8"/>
    <mergeCell ref="B45:J53"/>
    <mergeCell ref="B42:J42"/>
    <mergeCell ref="B41:J41"/>
    <mergeCell ref="B8:C8"/>
    <mergeCell ref="B9:C9"/>
    <mergeCell ref="D8:E8"/>
    <mergeCell ref="D9:E9"/>
    <mergeCell ref="B33:J33"/>
    <mergeCell ref="B34:J34"/>
    <mergeCell ref="B35:J35"/>
    <mergeCell ref="B36:J36"/>
    <mergeCell ref="B32:J32"/>
    <mergeCell ref="H27:I27"/>
    <mergeCell ref="B28:J28"/>
    <mergeCell ref="B44:J44"/>
    <mergeCell ref="F9:G9"/>
  </mergeCells>
  <phoneticPr fontId="21" type="noConversion"/>
  <pageMargins left="0.64" right="0.23622047244094491" top="0.43" bottom="0.33" header="0.31496062992125984" footer="0.12"/>
  <pageSetup paperSize="9" scale="67" fitToHeight="0" orientation="portrait" horizontalDpi="360" verticalDpi="360" r:id="rId1"/>
  <rowBreaks count="1" manualBreakCount="1">
    <brk id="43" min="1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00"/>
    <pageSetUpPr fitToPage="1"/>
  </sheetPr>
  <dimension ref="A1:Q194"/>
  <sheetViews>
    <sheetView tabSelected="1" view="pageBreakPreview" topLeftCell="A184" zoomScale="70" zoomScaleNormal="100" zoomScaleSheetLayoutView="70" workbookViewId="0">
      <selection activeCell="A190" sqref="A190:K190"/>
    </sheetView>
  </sheetViews>
  <sheetFormatPr defaultColWidth="9.140625" defaultRowHeight="14.25" x14ac:dyDescent="0.2"/>
  <cols>
    <col min="1" max="1" width="15.7109375" style="793" customWidth="1"/>
    <col min="2" max="2" width="15.7109375" style="794" customWidth="1"/>
    <col min="3" max="3" width="20.140625" style="793" customWidth="1"/>
    <col min="4" max="4" width="64.42578125" style="705" customWidth="1"/>
    <col min="5" max="5" width="8.85546875" style="705" customWidth="1"/>
    <col min="6" max="6" width="12.85546875" style="795" customWidth="1"/>
    <col min="7" max="7" width="15.140625" style="865" hidden="1" customWidth="1"/>
    <col min="8" max="8" width="17.85546875" style="795" customWidth="1"/>
    <col min="9" max="9" width="16" style="796" customWidth="1"/>
    <col min="10" max="10" width="22.28515625" style="796" customWidth="1"/>
    <col min="11" max="11" width="14" style="705" customWidth="1"/>
    <col min="12" max="12" width="13.140625" style="705" bestFit="1" customWidth="1"/>
    <col min="13" max="13" width="21.5703125" style="705" bestFit="1" customWidth="1"/>
    <col min="14" max="14" width="12.5703125" style="705" bestFit="1" customWidth="1"/>
    <col min="15" max="15" width="9.140625" style="705"/>
    <col min="16" max="16" width="17.85546875" style="705" bestFit="1" customWidth="1"/>
    <col min="17" max="16384" width="9.140625" style="705"/>
  </cols>
  <sheetData>
    <row r="1" spans="1:17" customFormat="1" ht="111" customHeight="1" x14ac:dyDescent="0.25">
      <c r="A1" s="1055" t="s">
        <v>1151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</row>
    <row r="2" spans="1:17" customFormat="1" ht="21.75" customHeight="1" x14ac:dyDescent="0.25">
      <c r="A2" s="1065" t="s">
        <v>1154</v>
      </c>
      <c r="B2" s="1065"/>
      <c r="C2" s="1065"/>
      <c r="D2" s="1065"/>
      <c r="E2" s="1065"/>
      <c r="F2" s="1065"/>
      <c r="G2" s="1065"/>
      <c r="H2" s="1065"/>
      <c r="I2" s="1065"/>
      <c r="J2" s="1065"/>
      <c r="K2" s="1065"/>
    </row>
    <row r="3" spans="1:17" customFormat="1" ht="20.25" customHeight="1" x14ac:dyDescent="0.25">
      <c r="A3" s="1056" t="s">
        <v>1155</v>
      </c>
      <c r="B3" s="1056"/>
      <c r="C3" s="1056"/>
      <c r="D3" s="1056"/>
      <c r="E3" s="1056"/>
      <c r="F3" s="1056"/>
      <c r="G3" s="1056"/>
      <c r="H3" s="1056"/>
      <c r="I3" s="1056"/>
      <c r="J3" s="1056"/>
      <c r="K3" s="1056"/>
    </row>
    <row r="4" spans="1:17" s="644" customFormat="1" ht="25.5" customHeight="1" x14ac:dyDescent="0.2">
      <c r="A4" s="900" t="s">
        <v>33</v>
      </c>
      <c r="B4" s="1059" t="s">
        <v>252</v>
      </c>
      <c r="C4" s="1060"/>
      <c r="D4" s="1060"/>
      <c r="E4" s="1060"/>
      <c r="F4" s="1061"/>
      <c r="G4" s="901"/>
      <c r="H4" s="1062" t="s">
        <v>859</v>
      </c>
      <c r="I4" s="1063"/>
      <c r="J4" s="1057" t="s">
        <v>862</v>
      </c>
      <c r="K4" s="1058"/>
    </row>
    <row r="5" spans="1:17" s="644" customFormat="1" ht="21" customHeight="1" x14ac:dyDescent="0.2">
      <c r="A5" s="900" t="s">
        <v>860</v>
      </c>
      <c r="B5" s="1064" t="s">
        <v>1052</v>
      </c>
      <c r="C5" s="1064"/>
      <c r="D5" s="1064"/>
      <c r="E5" s="1064"/>
      <c r="F5" s="1064"/>
      <c r="G5" s="1064"/>
      <c r="H5" s="1064"/>
      <c r="I5" s="1064"/>
      <c r="J5" s="1064"/>
      <c r="K5" s="1064"/>
    </row>
    <row r="6" spans="1:17" s="644" customFormat="1" ht="21.75" customHeight="1" x14ac:dyDescent="0.2">
      <c r="A6" s="900" t="s">
        <v>861</v>
      </c>
      <c r="B6" s="1046" t="s">
        <v>914</v>
      </c>
      <c r="C6" s="1046"/>
      <c r="D6" s="1046"/>
      <c r="E6" s="1046"/>
      <c r="F6" s="1046"/>
      <c r="G6" s="1046"/>
      <c r="H6" s="1046"/>
      <c r="I6" s="1046"/>
      <c r="J6" s="1046"/>
      <c r="K6" s="1046"/>
    </row>
    <row r="7" spans="1:17" s="644" customFormat="1" ht="17.25" customHeight="1" x14ac:dyDescent="0.2">
      <c r="A7" s="902" t="s">
        <v>80</v>
      </c>
      <c r="B7" s="1047">
        <f>BDI!J29</f>
        <v>0.29769428939090381</v>
      </c>
      <c r="C7" s="1047"/>
      <c r="D7" s="1047"/>
      <c r="E7" s="1048" t="s">
        <v>34</v>
      </c>
      <c r="F7" s="1049"/>
      <c r="G7" s="903"/>
      <c r="H7" s="1066" t="s">
        <v>1116</v>
      </c>
      <c r="I7" s="1067"/>
      <c r="J7" s="1067"/>
      <c r="K7" s="1067"/>
      <c r="M7" s="866" t="s">
        <v>1150</v>
      </c>
    </row>
    <row r="8" spans="1:17" s="644" customFormat="1" ht="19.5" customHeight="1" x14ac:dyDescent="0.2">
      <c r="A8" s="904" t="s">
        <v>863</v>
      </c>
      <c r="B8" s="1068" t="s">
        <v>1102</v>
      </c>
      <c r="C8" s="1069"/>
      <c r="D8" s="1070"/>
      <c r="E8" s="1050"/>
      <c r="F8" s="1051"/>
      <c r="G8" s="903"/>
      <c r="H8" s="1066" t="s">
        <v>1070</v>
      </c>
      <c r="I8" s="1067"/>
      <c r="J8" s="1067"/>
      <c r="K8" s="1067"/>
      <c r="M8" s="867">
        <v>-0.23</v>
      </c>
    </row>
    <row r="9" spans="1:17" s="644" customFormat="1" ht="21" customHeight="1" x14ac:dyDescent="0.2">
      <c r="A9" s="905" t="s">
        <v>865</v>
      </c>
      <c r="B9" s="1054">
        <f>J189</f>
        <v>1202969.1098858207</v>
      </c>
      <c r="C9" s="1054"/>
      <c r="D9" s="1054"/>
      <c r="E9" s="1052" t="s">
        <v>864</v>
      </c>
      <c r="F9" s="1053"/>
      <c r="G9" s="906"/>
      <c r="H9" s="1071">
        <v>44749</v>
      </c>
      <c r="I9" s="1072"/>
      <c r="J9" s="1072"/>
      <c r="K9" s="1072"/>
    </row>
    <row r="10" spans="1:17" s="644" customFormat="1" ht="15" x14ac:dyDescent="0.2">
      <c r="A10" s="524"/>
      <c r="B10" s="524"/>
      <c r="C10" s="524"/>
      <c r="D10" s="524"/>
      <c r="E10" s="524"/>
      <c r="F10" s="524"/>
      <c r="G10" s="809"/>
      <c r="H10" s="524"/>
      <c r="I10" s="524"/>
      <c r="J10" s="524"/>
      <c r="K10" s="693"/>
    </row>
    <row r="11" spans="1:17" s="109" customFormat="1" ht="30" customHeight="1" x14ac:dyDescent="0.25">
      <c r="A11" s="1075" t="s">
        <v>725</v>
      </c>
      <c r="B11" s="1076"/>
      <c r="C11" s="1076"/>
      <c r="D11" s="1076"/>
      <c r="E11" s="1076"/>
      <c r="F11" s="1076"/>
      <c r="G11" s="1076"/>
      <c r="H11" s="1076"/>
      <c r="I11" s="1076"/>
      <c r="J11" s="1076"/>
      <c r="K11" s="1077"/>
    </row>
    <row r="12" spans="1:17" s="644" customFormat="1" ht="15" x14ac:dyDescent="0.2">
      <c r="A12" s="525"/>
      <c r="B12" s="696"/>
      <c r="C12" s="697"/>
      <c r="D12" s="698"/>
      <c r="E12" s="698"/>
      <c r="F12" s="699"/>
      <c r="G12" s="825"/>
      <c r="H12" s="700"/>
      <c r="I12" s="701"/>
      <c r="J12" s="526"/>
      <c r="K12" s="702"/>
    </row>
    <row r="13" spans="1:17" s="109" customFormat="1" ht="30" x14ac:dyDescent="0.25">
      <c r="A13" s="372" t="s">
        <v>0</v>
      </c>
      <c r="B13" s="373" t="s">
        <v>800</v>
      </c>
      <c r="C13" s="374" t="s">
        <v>7</v>
      </c>
      <c r="D13" s="375" t="s">
        <v>1</v>
      </c>
      <c r="E13" s="376" t="s">
        <v>362</v>
      </c>
      <c r="F13" s="377" t="s">
        <v>2</v>
      </c>
      <c r="G13" s="826" t="s">
        <v>8</v>
      </c>
      <c r="H13" s="377" t="s">
        <v>8</v>
      </c>
      <c r="I13" s="527" t="s">
        <v>9</v>
      </c>
      <c r="J13" s="703" t="s">
        <v>10</v>
      </c>
      <c r="K13" s="378" t="s">
        <v>101</v>
      </c>
    </row>
    <row r="14" spans="1:17" s="707" customFormat="1" ht="19.5" customHeight="1" x14ac:dyDescent="0.25">
      <c r="A14" s="695">
        <v>1</v>
      </c>
      <c r="B14" s="379"/>
      <c r="C14" s="695"/>
      <c r="D14" s="380" t="s">
        <v>876</v>
      </c>
      <c r="E14" s="695"/>
      <c r="F14" s="381"/>
      <c r="G14" s="827"/>
      <c r="H14" s="381"/>
      <c r="I14" s="382"/>
      <c r="J14" s="384">
        <f>SUM(J15)</f>
        <v>23767.751057081477</v>
      </c>
      <c r="K14" s="704">
        <f>J14/$J$189</f>
        <v>1.9757573874309528E-2</v>
      </c>
      <c r="L14" s="705"/>
      <c r="M14" s="706">
        <v>35413.805100000005</v>
      </c>
      <c r="N14" s="705"/>
      <c r="O14" s="705"/>
      <c r="P14" s="705"/>
      <c r="Q14" s="705"/>
    </row>
    <row r="15" spans="1:17" ht="45" customHeight="1" x14ac:dyDescent="0.2">
      <c r="A15" s="63" t="s">
        <v>3</v>
      </c>
      <c r="B15" s="1073" t="str">
        <f>COMPOSIÇÕES!A13</f>
        <v>COMPOSIÇÃO 1</v>
      </c>
      <c r="C15" s="1074"/>
      <c r="D15" s="708" t="str">
        <f>COMPOSIÇÕES!A14</f>
        <v>ADMINISTRAÇÃO LOCAL DE OBRA, INCLUSO ENGENHEIRO CIVIL E ENCARREGADO GERAL COM ENCARGOS COMPLEMENTARES</v>
      </c>
      <c r="E15" s="66" t="s">
        <v>124</v>
      </c>
      <c r="F15" s="323">
        <f>'ADM. OBRA. 1'!C26</f>
        <v>1</v>
      </c>
      <c r="G15" s="828">
        <f>COMPOSIÇÕES!G18</f>
        <v>0</v>
      </c>
      <c r="H15" s="709">
        <f>COMPOSIÇÕES!H18</f>
        <v>18315.37</v>
      </c>
      <c r="I15" s="710">
        <f>H15*$B$7+H15</f>
        <v>23767.751057081477</v>
      </c>
      <c r="J15" s="711">
        <f>I15*F15</f>
        <v>23767.751057081477</v>
      </c>
      <c r="K15" s="712"/>
      <c r="P15" s="797">
        <f>H15*F15</f>
        <v>18315.37</v>
      </c>
    </row>
    <row r="16" spans="1:17" s="707" customFormat="1" ht="19.5" customHeight="1" x14ac:dyDescent="0.25">
      <c r="A16" s="695">
        <v>2</v>
      </c>
      <c r="B16" s="379"/>
      <c r="C16" s="695"/>
      <c r="D16" s="380" t="s">
        <v>868</v>
      </c>
      <c r="E16" s="695"/>
      <c r="F16" s="381"/>
      <c r="G16" s="829"/>
      <c r="H16" s="603"/>
      <c r="I16" s="604"/>
      <c r="J16" s="384">
        <f>SUM(J17:J20)</f>
        <v>39035.714329543305</v>
      </c>
      <c r="K16" s="704">
        <f>J16/$J$189</f>
        <v>3.2449473563995641E-2</v>
      </c>
      <c r="L16" s="705"/>
      <c r="M16" s="706">
        <v>35413.805100000005</v>
      </c>
      <c r="N16" s="705"/>
      <c r="O16" s="705"/>
      <c r="P16" s="797">
        <f t="shared" ref="P16:P79" si="0">H16*F16</f>
        <v>0</v>
      </c>
      <c r="Q16" s="705"/>
    </row>
    <row r="17" spans="1:17" ht="21" customHeight="1" x14ac:dyDescent="0.2">
      <c r="A17" s="63" t="s">
        <v>819</v>
      </c>
      <c r="B17" s="69" t="s">
        <v>267</v>
      </c>
      <c r="C17" s="713" t="s">
        <v>1053</v>
      </c>
      <c r="D17" s="708" t="s">
        <v>1069</v>
      </c>
      <c r="E17" s="63" t="s">
        <v>68</v>
      </c>
      <c r="F17" s="323">
        <f>'SERV. PREL.2'!C20</f>
        <v>6</v>
      </c>
      <c r="G17" s="828">
        <v>499.97</v>
      </c>
      <c r="H17" s="709">
        <f>G17*$M$8+G17</f>
        <v>384.9769</v>
      </c>
      <c r="I17" s="710">
        <f>H17*$B$7+H17</f>
        <v>499.58232467741306</v>
      </c>
      <c r="J17" s="711">
        <f>I17*F17</f>
        <v>2997.4939480644784</v>
      </c>
      <c r="K17" s="712"/>
      <c r="P17" s="797">
        <f t="shared" si="0"/>
        <v>2309.8613999999998</v>
      </c>
    </row>
    <row r="18" spans="1:17" ht="49.5" customHeight="1" x14ac:dyDescent="0.2">
      <c r="A18" s="63" t="s">
        <v>820</v>
      </c>
      <c r="B18" s="70" t="s">
        <v>12</v>
      </c>
      <c r="C18" s="64" t="s">
        <v>1055</v>
      </c>
      <c r="D18" s="708" t="s">
        <v>1054</v>
      </c>
      <c r="E18" s="66" t="s">
        <v>52</v>
      </c>
      <c r="F18" s="307">
        <f>'SERV. PREL.2'!C27</f>
        <v>309.90000000000003</v>
      </c>
      <c r="G18" s="830">
        <v>48.34</v>
      </c>
      <c r="H18" s="709">
        <f>G18*$M$8+G18</f>
        <v>37.221800000000002</v>
      </c>
      <c r="I18" s="710">
        <f t="shared" ref="I18:I24" si="1">H18*$B$7+H18</f>
        <v>48.302517300850347</v>
      </c>
      <c r="J18" s="715">
        <f>I18*F18</f>
        <v>14968.950111533524</v>
      </c>
      <c r="K18" s="535"/>
      <c r="P18" s="797">
        <f t="shared" si="0"/>
        <v>11535.035820000001</v>
      </c>
    </row>
    <row r="19" spans="1:17" ht="21" customHeight="1" x14ac:dyDescent="0.2">
      <c r="A19" s="63" t="s">
        <v>821</v>
      </c>
      <c r="B19" s="69" t="s">
        <v>267</v>
      </c>
      <c r="C19" s="713" t="s">
        <v>951</v>
      </c>
      <c r="D19" s="686" t="s">
        <v>963</v>
      </c>
      <c r="E19" s="68" t="s">
        <v>68</v>
      </c>
      <c r="F19" s="308">
        <f>'SERV. PREL.2'!C33</f>
        <v>15</v>
      </c>
      <c r="G19" s="831">
        <v>564.22</v>
      </c>
      <c r="H19" s="709">
        <f>G19*$M$8+G19</f>
        <v>434.44940000000003</v>
      </c>
      <c r="I19" s="710">
        <f t="shared" si="1"/>
        <v>563.78250540930458</v>
      </c>
      <c r="J19" s="717">
        <f>I19*F19</f>
        <v>8456.7375811395686</v>
      </c>
      <c r="K19" s="718"/>
      <c r="M19" s="719"/>
      <c r="P19" s="797">
        <f t="shared" si="0"/>
        <v>6516.741</v>
      </c>
    </row>
    <row r="20" spans="1:17" ht="21" customHeight="1" x14ac:dyDescent="0.2">
      <c r="A20" s="63" t="s">
        <v>1119</v>
      </c>
      <c r="B20" s="69" t="s">
        <v>267</v>
      </c>
      <c r="C20" s="713" t="s">
        <v>1120</v>
      </c>
      <c r="D20" s="686" t="s">
        <v>1121</v>
      </c>
      <c r="E20" s="68" t="s">
        <v>1122</v>
      </c>
      <c r="F20" s="308">
        <f>'SERV. PREL.2'!C37</f>
        <v>1</v>
      </c>
      <c r="G20" s="831">
        <v>12622.32</v>
      </c>
      <c r="H20" s="709">
        <f>G20*$M$8+G20</f>
        <v>9719.1863999999987</v>
      </c>
      <c r="I20" s="710">
        <f t="shared" si="1"/>
        <v>12612.532688805735</v>
      </c>
      <c r="J20" s="717">
        <f>I20*F20</f>
        <v>12612.532688805735</v>
      </c>
      <c r="K20" s="718"/>
      <c r="M20" s="719"/>
      <c r="P20" s="797">
        <f t="shared" si="0"/>
        <v>9719.1863999999987</v>
      </c>
    </row>
    <row r="21" spans="1:17" s="707" customFormat="1" ht="19.5" customHeight="1" x14ac:dyDescent="0.25">
      <c r="A21" s="695">
        <v>3</v>
      </c>
      <c r="B21" s="379"/>
      <c r="C21" s="695"/>
      <c r="D21" s="380" t="s">
        <v>266</v>
      </c>
      <c r="E21" s="695"/>
      <c r="F21" s="381"/>
      <c r="G21" s="829"/>
      <c r="H21" s="603"/>
      <c r="I21" s="604"/>
      <c r="J21" s="384">
        <f>SUM(J22:J24)</f>
        <v>14565.276612364634</v>
      </c>
      <c r="K21" s="704">
        <f>J21/$J$189</f>
        <v>1.2107772753821661E-2</v>
      </c>
      <c r="L21" s="705"/>
      <c r="M21" s="706">
        <v>35413.805100000005</v>
      </c>
      <c r="N21" s="705"/>
      <c r="O21" s="705"/>
      <c r="P21" s="797">
        <f t="shared" si="0"/>
        <v>0</v>
      </c>
      <c r="Q21" s="705"/>
    </row>
    <row r="22" spans="1:17" ht="21.75" customHeight="1" x14ac:dyDescent="0.2">
      <c r="A22" s="63" t="s">
        <v>822</v>
      </c>
      <c r="B22" s="69" t="s">
        <v>267</v>
      </c>
      <c r="C22" s="720" t="s">
        <v>268</v>
      </c>
      <c r="D22" s="708" t="s">
        <v>481</v>
      </c>
      <c r="E22" s="63" t="s">
        <v>56</v>
      </c>
      <c r="F22" s="323">
        <f>'DEMOL. RET.3'!C21</f>
        <v>43.44</v>
      </c>
      <c r="G22" s="828">
        <v>249.59</v>
      </c>
      <c r="H22" s="709">
        <f>G22*$M$8+G22</f>
        <v>192.18430000000001</v>
      </c>
      <c r="I22" s="710">
        <f t="shared" si="1"/>
        <v>249.39646862058828</v>
      </c>
      <c r="J22" s="711">
        <f>I22*F22</f>
        <v>10833.782596878355</v>
      </c>
      <c r="K22" s="712"/>
      <c r="P22" s="797">
        <f t="shared" si="0"/>
        <v>8348.4859919999999</v>
      </c>
    </row>
    <row r="23" spans="1:17" ht="49.5" customHeight="1" x14ac:dyDescent="0.2">
      <c r="A23" s="63" t="s">
        <v>823</v>
      </c>
      <c r="B23" s="70" t="s">
        <v>12</v>
      </c>
      <c r="C23" s="64" t="s">
        <v>341</v>
      </c>
      <c r="D23" s="65" t="s">
        <v>342</v>
      </c>
      <c r="E23" s="66" t="s">
        <v>68</v>
      </c>
      <c r="F23" s="307">
        <f>'DEMOL. RET.3'!D71</f>
        <v>8070.13</v>
      </c>
      <c r="G23" s="830">
        <v>0.31</v>
      </c>
      <c r="H23" s="709">
        <f>G23*$M$8+G23</f>
        <v>0.2387</v>
      </c>
      <c r="I23" s="710">
        <f t="shared" si="1"/>
        <v>0.30975962687760872</v>
      </c>
      <c r="J23" s="715">
        <f>I23*F23</f>
        <v>2499.8004576537965</v>
      </c>
      <c r="K23" s="535"/>
      <c r="P23" s="797">
        <f t="shared" si="0"/>
        <v>1926.340031</v>
      </c>
    </row>
    <row r="24" spans="1:17" ht="19.5" customHeight="1" x14ac:dyDescent="0.2">
      <c r="A24" s="63" t="s">
        <v>824</v>
      </c>
      <c r="B24" s="1073" t="str">
        <f>COMPOSIÇÕES!A20</f>
        <v>COMPOSIÇÃO 2</v>
      </c>
      <c r="C24" s="1074"/>
      <c r="D24" s="708" t="str">
        <f>COMPOSIÇÕES!A21</f>
        <v>RETIRADA DE POSTE E INSTALAÇÕES</v>
      </c>
      <c r="E24" s="66" t="s">
        <v>124</v>
      </c>
      <c r="F24" s="308">
        <f>'DEMOL. RET.3'!C75</f>
        <v>6</v>
      </c>
      <c r="G24" s="831">
        <f>COMPOSIÇÕES!G26</f>
        <v>0</v>
      </c>
      <c r="H24" s="716">
        <f>COMPOSIÇÕES!H26</f>
        <v>158.19</v>
      </c>
      <c r="I24" s="710">
        <f t="shared" si="1"/>
        <v>205.28225963874706</v>
      </c>
      <c r="J24" s="717">
        <f>I24*F24</f>
        <v>1231.6935578324824</v>
      </c>
      <c r="K24" s="718"/>
      <c r="M24" s="719"/>
      <c r="P24" s="797">
        <f t="shared" si="0"/>
        <v>949.14</v>
      </c>
    </row>
    <row r="25" spans="1:17" ht="21.75" customHeight="1" x14ac:dyDescent="0.25">
      <c r="A25" s="695">
        <v>4</v>
      </c>
      <c r="B25" s="379"/>
      <c r="C25" s="695"/>
      <c r="D25" s="383" t="str">
        <f>PAV.4!B15</f>
        <v xml:space="preserve">PAVIMENTAÇÃO </v>
      </c>
      <c r="E25" s="695"/>
      <c r="F25" s="381"/>
      <c r="G25" s="829"/>
      <c r="H25" s="603"/>
      <c r="I25" s="603"/>
      <c r="J25" s="384">
        <f>SUM(J27:J40)</f>
        <v>343029.05079008819</v>
      </c>
      <c r="K25" s="704">
        <f>J25/$J$189</f>
        <v>0.28515200263342311</v>
      </c>
      <c r="M25" s="706">
        <v>294407.52919999999</v>
      </c>
      <c r="P25" s="797">
        <f t="shared" si="0"/>
        <v>0</v>
      </c>
    </row>
    <row r="26" spans="1:17" ht="21.75" customHeight="1" x14ac:dyDescent="0.2">
      <c r="A26" s="396" t="s">
        <v>61</v>
      </c>
      <c r="B26" s="397"/>
      <c r="C26" s="398"/>
      <c r="D26" s="399" t="s">
        <v>837</v>
      </c>
      <c r="E26" s="399"/>
      <c r="F26" s="399"/>
      <c r="G26" s="832"/>
      <c r="H26" s="605"/>
      <c r="I26" s="606"/>
      <c r="J26" s="400"/>
      <c r="K26" s="401"/>
      <c r="P26" s="797">
        <f t="shared" si="0"/>
        <v>0</v>
      </c>
    </row>
    <row r="27" spans="1:17" ht="78" customHeight="1" x14ac:dyDescent="0.2">
      <c r="A27" s="66" t="s">
        <v>964</v>
      </c>
      <c r="B27" s="1073" t="str">
        <f>COMPOSIÇÕES!A28</f>
        <v>COMPOSIÇÃO 3</v>
      </c>
      <c r="C27" s="1074"/>
      <c r="D27" s="708" t="str">
        <f>COMPOSIÇÕES!A29</f>
        <v>EXECUÇÃO DE PASSEIO OU PISO DE CONCRETO, MOLDADO IN LOCO, FEITO EM OBRA, ACABAMENTO COM PINTURA EM TINTA ACRÍLICA (COLORIDO) PARA PISOS (2 DEMÃOS), ESPESSURA 6 CM - JUNTA DE DILATAÇÃO PLÁSTICA - FORNECIMENTO E EXECUÇÃO</v>
      </c>
      <c r="E27" s="111" t="s">
        <v>56</v>
      </c>
      <c r="F27" s="178">
        <f>PAV.4!D35</f>
        <v>273.52999999999997</v>
      </c>
      <c r="G27" s="833">
        <f>COMPOSIÇÕES!G39</f>
        <v>0</v>
      </c>
      <c r="H27" s="607">
        <f>COMPOSIÇÕES!H39</f>
        <v>616.96</v>
      </c>
      <c r="I27" s="710">
        <f t="shared" ref="I27:I53" si="2">H27*$B$7+H27</f>
        <v>800.62546878261207</v>
      </c>
      <c r="J27" s="112">
        <f>I27*F27</f>
        <v>218995.08447610785</v>
      </c>
      <c r="K27" s="113"/>
      <c r="P27" s="797">
        <f t="shared" si="0"/>
        <v>168757.06879999998</v>
      </c>
    </row>
    <row r="28" spans="1:17" ht="48.75" customHeight="1" x14ac:dyDescent="0.2">
      <c r="A28" s="66" t="s">
        <v>965</v>
      </c>
      <c r="B28" s="70" t="s">
        <v>12</v>
      </c>
      <c r="C28" s="64" t="s">
        <v>349</v>
      </c>
      <c r="D28" s="65" t="s">
        <v>350</v>
      </c>
      <c r="E28" s="66" t="s">
        <v>56</v>
      </c>
      <c r="F28" s="307">
        <f>PAV.4!D53</f>
        <v>41.69</v>
      </c>
      <c r="G28" s="830">
        <v>783.65</v>
      </c>
      <c r="H28" s="714">
        <f>G28*$M$8+G28</f>
        <v>603.41049999999996</v>
      </c>
      <c r="I28" s="710">
        <f t="shared" si="2"/>
        <v>783.04236000850995</v>
      </c>
      <c r="J28" s="533">
        <f t="shared" ref="J28" si="3">I28*F28</f>
        <v>32645.035988754778</v>
      </c>
      <c r="K28" s="535"/>
      <c r="L28" s="705">
        <f>H28*0.06</f>
        <v>36.204629999999995</v>
      </c>
      <c r="P28" s="797">
        <f t="shared" si="0"/>
        <v>25156.183744999998</v>
      </c>
    </row>
    <row r="29" spans="1:17" ht="20.25" customHeight="1" x14ac:dyDescent="0.2">
      <c r="A29" s="396" t="s">
        <v>966</v>
      </c>
      <c r="B29" s="397"/>
      <c r="C29" s="398"/>
      <c r="D29" s="1080" t="s">
        <v>1128</v>
      </c>
      <c r="E29" s="1080"/>
      <c r="F29" s="1080"/>
      <c r="G29" s="832"/>
      <c r="H29" s="605"/>
      <c r="I29" s="605"/>
      <c r="J29" s="400"/>
      <c r="K29" s="401"/>
      <c r="P29" s="797">
        <f t="shared" si="0"/>
        <v>0</v>
      </c>
    </row>
    <row r="30" spans="1:17" ht="33.75" customHeight="1" x14ac:dyDescent="0.2">
      <c r="A30" s="66" t="s">
        <v>967</v>
      </c>
      <c r="B30" s="70" t="s">
        <v>12</v>
      </c>
      <c r="C30" s="721" t="s">
        <v>682</v>
      </c>
      <c r="D30" s="67" t="s">
        <v>683</v>
      </c>
      <c r="E30" s="66" t="s">
        <v>68</v>
      </c>
      <c r="F30" s="307">
        <f>PAV.4!D63</f>
        <v>456.15000000000003</v>
      </c>
      <c r="G30" s="830">
        <v>2.16</v>
      </c>
      <c r="H30" s="709">
        <f>G30*$M$8+G30</f>
        <v>1.6632</v>
      </c>
      <c r="I30" s="710">
        <f t="shared" si="2"/>
        <v>2.1583251421149514</v>
      </c>
      <c r="J30" s="533">
        <f>I30*F30</f>
        <v>984.52001357573511</v>
      </c>
      <c r="K30" s="535"/>
      <c r="P30" s="797">
        <f t="shared" si="0"/>
        <v>758.66868000000011</v>
      </c>
    </row>
    <row r="31" spans="1:17" ht="49.5" customHeight="1" x14ac:dyDescent="0.2">
      <c r="A31" s="66" t="s">
        <v>968</v>
      </c>
      <c r="B31" s="70" t="s">
        <v>12</v>
      </c>
      <c r="C31" s="64" t="s">
        <v>839</v>
      </c>
      <c r="D31" s="708" t="s">
        <v>838</v>
      </c>
      <c r="E31" s="111" t="s">
        <v>68</v>
      </c>
      <c r="F31" s="178">
        <f>PAV.4!D72</f>
        <v>456.15000000000003</v>
      </c>
      <c r="G31" s="833">
        <v>59.78</v>
      </c>
      <c r="H31" s="709">
        <f>G31*$M$8+G31</f>
        <v>46.0306</v>
      </c>
      <c r="I31" s="710">
        <f t="shared" si="2"/>
        <v>59.73364675723694</v>
      </c>
      <c r="J31" s="112">
        <f>I31*F31</f>
        <v>27247.502968313631</v>
      </c>
      <c r="K31" s="113"/>
      <c r="P31" s="797">
        <f t="shared" si="0"/>
        <v>20996.858190000003</v>
      </c>
    </row>
    <row r="32" spans="1:17" ht="32.25" customHeight="1" x14ac:dyDescent="0.2">
      <c r="A32" s="66" t="s">
        <v>969</v>
      </c>
      <c r="B32" s="70" t="s">
        <v>12</v>
      </c>
      <c r="C32" s="64" t="s">
        <v>840</v>
      </c>
      <c r="D32" s="356" t="s">
        <v>841</v>
      </c>
      <c r="E32" s="66" t="s">
        <v>52</v>
      </c>
      <c r="F32" s="307">
        <f>PAV.4!D81</f>
        <v>126</v>
      </c>
      <c r="G32" s="830">
        <v>3.41</v>
      </c>
      <c r="H32" s="709">
        <f>G32*$M$8+G32</f>
        <v>2.6257000000000001</v>
      </c>
      <c r="I32" s="710">
        <f t="shared" si="2"/>
        <v>3.4073558956536965</v>
      </c>
      <c r="J32" s="533">
        <f t="shared" ref="J32:J34" si="4">I32*F32</f>
        <v>429.32684285236576</v>
      </c>
      <c r="K32" s="722"/>
      <c r="P32" s="797">
        <f t="shared" si="0"/>
        <v>330.83820000000003</v>
      </c>
    </row>
    <row r="33" spans="1:16" ht="37.5" customHeight="1" x14ac:dyDescent="0.2">
      <c r="A33" s="66" t="s">
        <v>970</v>
      </c>
      <c r="B33" s="1073" t="str">
        <f>COMPOSIÇÕES!A41</f>
        <v>COMPOSIÇÃO 4</v>
      </c>
      <c r="C33" s="1074"/>
      <c r="D33" s="117" t="str">
        <f>COMPOSIÇÕES!A42</f>
        <v>PINTURA DE DEMARCAÇÃO PARA VAGA PREFERENCIAL PARA IDOSO COM TINTA ACRÍLICA, APLICADA MANUALMENTE.</v>
      </c>
      <c r="E33" s="66" t="s">
        <v>52</v>
      </c>
      <c r="F33" s="307">
        <f>PAV.4!C88</f>
        <v>1</v>
      </c>
      <c r="G33" s="830">
        <f>COMPOSIÇÕES!G48</f>
        <v>0</v>
      </c>
      <c r="H33" s="608">
        <f>COMPOSIÇÕES!H48</f>
        <v>12.53</v>
      </c>
      <c r="I33" s="710">
        <f t="shared" si="2"/>
        <v>16.260109446068025</v>
      </c>
      <c r="J33" s="533">
        <f t="shared" si="4"/>
        <v>16.260109446068025</v>
      </c>
      <c r="K33" s="722"/>
      <c r="P33" s="797">
        <f t="shared" si="0"/>
        <v>12.53</v>
      </c>
    </row>
    <row r="34" spans="1:16" ht="32.25" customHeight="1" x14ac:dyDescent="0.2">
      <c r="A34" s="66" t="s">
        <v>1047</v>
      </c>
      <c r="B34" s="1073" t="str">
        <f>COMPOSIÇÕES!A50</f>
        <v>COMPOSIÇÃO 5</v>
      </c>
      <c r="C34" s="1074"/>
      <c r="D34" s="117" t="str">
        <f>COMPOSIÇÕES!A51</f>
        <v>PINTURA DE DEMARCAÇÃO PARA VAGA PREFERENCIAL PARA CADEIRANTE COM TINTA ACRÍLICA, APLICADA MANUALMENTE.</v>
      </c>
      <c r="E34" s="66" t="s">
        <v>52</v>
      </c>
      <c r="F34" s="307">
        <f>PAV.4!C95</f>
        <v>1</v>
      </c>
      <c r="G34" s="830">
        <f>COMPOSIÇÕES!G57</f>
        <v>0</v>
      </c>
      <c r="H34" s="608">
        <f>COMPOSIÇÕES!H57</f>
        <v>31.92</v>
      </c>
      <c r="I34" s="710">
        <f t="shared" si="2"/>
        <v>41.422401717357651</v>
      </c>
      <c r="J34" s="533">
        <f t="shared" si="4"/>
        <v>41.422401717357651</v>
      </c>
      <c r="K34" s="722"/>
      <c r="P34" s="797">
        <f t="shared" si="0"/>
        <v>31.92</v>
      </c>
    </row>
    <row r="35" spans="1:16" ht="66.75" customHeight="1" x14ac:dyDescent="0.2">
      <c r="A35" s="66" t="s">
        <v>1127</v>
      </c>
      <c r="B35" s="1073" t="str">
        <f>COMPOSIÇÕES!A59</f>
        <v>COMPOSIÇÃO 6</v>
      </c>
      <c r="C35" s="1074"/>
      <c r="D35" s="687" t="str">
        <f>COMPOSIÇÕES!A60</f>
        <v>PLACA DE SINALIZACAO EM CHAPA DE ACO NUM 16 COM PINTURA REFLETIVA PARA SINALIZAÇÃO DE VAGAS PREFERENCIAIS, INCLUSO FUNDAÇÃO EM CONCRETO CICLÓPICO. FORNECIMENTO E INSTALAÇÃO.</v>
      </c>
      <c r="E35" s="66" t="s">
        <v>124</v>
      </c>
      <c r="F35" s="307">
        <f>PAV.4!C103</f>
        <v>2</v>
      </c>
      <c r="G35" s="834">
        <f>COMPOSIÇÕES!G71</f>
        <v>0</v>
      </c>
      <c r="H35" s="608">
        <f>COMPOSIÇÕES!H71</f>
        <v>468.04</v>
      </c>
      <c r="I35" s="710">
        <f t="shared" si="2"/>
        <v>607.37283520651863</v>
      </c>
      <c r="J35" s="533">
        <f>I35*F35</f>
        <v>1214.7456704130373</v>
      </c>
      <c r="K35" s="722"/>
      <c r="P35" s="797">
        <f t="shared" si="0"/>
        <v>936.08</v>
      </c>
    </row>
    <row r="36" spans="1:16" ht="15" x14ac:dyDescent="0.2">
      <c r="A36" s="396" t="s">
        <v>62</v>
      </c>
      <c r="B36" s="397"/>
      <c r="C36" s="398"/>
      <c r="D36" s="399" t="s">
        <v>896</v>
      </c>
      <c r="E36" s="399"/>
      <c r="F36" s="399"/>
      <c r="G36" s="832"/>
      <c r="H36" s="605"/>
      <c r="I36" s="606"/>
      <c r="J36" s="400"/>
      <c r="K36" s="401"/>
      <c r="P36" s="797">
        <f t="shared" si="0"/>
        <v>0</v>
      </c>
    </row>
    <row r="37" spans="1:16" ht="78" customHeight="1" x14ac:dyDescent="0.2">
      <c r="A37" s="66" t="s">
        <v>971</v>
      </c>
      <c r="B37" s="70" t="s">
        <v>12</v>
      </c>
      <c r="C37" s="70" t="s">
        <v>1109</v>
      </c>
      <c r="D37" s="65" t="s">
        <v>1149</v>
      </c>
      <c r="E37" s="66" t="s">
        <v>52</v>
      </c>
      <c r="F37" s="307">
        <f>PAV.4!D132</f>
        <v>513.06999999999994</v>
      </c>
      <c r="G37" s="830">
        <v>54.69</v>
      </c>
      <c r="H37" s="709">
        <f>G37*$M$8+G37</f>
        <v>42.1113</v>
      </c>
      <c r="I37" s="710">
        <f t="shared" si="2"/>
        <v>54.647593528827166</v>
      </c>
      <c r="J37" s="533">
        <f>I37*F37</f>
        <v>28038.040811835352</v>
      </c>
      <c r="K37" s="535"/>
      <c r="P37" s="797">
        <f t="shared" si="0"/>
        <v>21606.044690999996</v>
      </c>
    </row>
    <row r="38" spans="1:16" ht="78" customHeight="1" x14ac:dyDescent="0.2">
      <c r="A38" s="66" t="s">
        <v>972</v>
      </c>
      <c r="B38" s="70" t="s">
        <v>12</v>
      </c>
      <c r="C38" s="70" t="s">
        <v>1110</v>
      </c>
      <c r="D38" s="65" t="s">
        <v>1111</v>
      </c>
      <c r="E38" s="66" t="s">
        <v>52</v>
      </c>
      <c r="F38" s="307">
        <f>PAV.4!D155</f>
        <v>238.35000000000002</v>
      </c>
      <c r="G38" s="830">
        <v>51.27</v>
      </c>
      <c r="H38" s="709">
        <f>G38*$M$8+G38</f>
        <v>39.477900000000005</v>
      </c>
      <c r="I38" s="710">
        <f t="shared" si="2"/>
        <v>51.230245387145168</v>
      </c>
      <c r="J38" s="533">
        <f>I38*F38</f>
        <v>12210.728988026052</v>
      </c>
      <c r="K38" s="535"/>
      <c r="P38" s="797">
        <f t="shared" si="0"/>
        <v>9409.5574650000017</v>
      </c>
    </row>
    <row r="39" spans="1:16" ht="36" customHeight="1" x14ac:dyDescent="0.2">
      <c r="A39" s="66" t="s">
        <v>973</v>
      </c>
      <c r="B39" s="70" t="s">
        <v>267</v>
      </c>
      <c r="C39" s="64" t="s">
        <v>1123</v>
      </c>
      <c r="D39" s="65" t="s">
        <v>1124</v>
      </c>
      <c r="E39" s="66" t="s">
        <v>52</v>
      </c>
      <c r="F39" s="307">
        <f>PAV.4!D171</f>
        <v>171.73</v>
      </c>
      <c r="G39" s="830">
        <v>53.79</v>
      </c>
      <c r="H39" s="709">
        <f>G39*$M$8+G39</f>
        <v>41.418300000000002</v>
      </c>
      <c r="I39" s="710">
        <f t="shared" si="2"/>
        <v>53.748291386279277</v>
      </c>
      <c r="J39" s="533">
        <f t="shared" ref="J39" si="5">I39*F39</f>
        <v>9230.1940797657389</v>
      </c>
      <c r="K39" s="535"/>
      <c r="P39" s="797">
        <f t="shared" si="0"/>
        <v>7112.7646590000004</v>
      </c>
    </row>
    <row r="40" spans="1:16" ht="52.5" customHeight="1" x14ac:dyDescent="0.2">
      <c r="A40" s="66" t="s">
        <v>974</v>
      </c>
      <c r="B40" s="1073" t="str">
        <f>COMPOSIÇÕES!A73</f>
        <v>COMPOSIÇÃO 7</v>
      </c>
      <c r="C40" s="1074"/>
      <c r="D40" s="117" t="str">
        <f>COMPOSIÇÕES!A74</f>
        <v>EXECUÇÃO DE SARJETÃO DE CONCRETO USINADO, MOLDADA IN LOCO EM TRECHO RETO, 60 CM BASE X 20 CM ALTURA.</v>
      </c>
      <c r="E40" s="66" t="s">
        <v>52</v>
      </c>
      <c r="F40" s="307">
        <f>PAV.4!E179</f>
        <v>110.91</v>
      </c>
      <c r="G40" s="830">
        <f>COMPOSIÇÕES!G82</f>
        <v>0</v>
      </c>
      <c r="H40" s="608">
        <f>COMPOSIÇÕES!H82</f>
        <v>83.21</v>
      </c>
      <c r="I40" s="710">
        <f t="shared" si="2"/>
        <v>107.98114182021709</v>
      </c>
      <c r="J40" s="533">
        <f t="shared" ref="J40" si="6">I40*F40</f>
        <v>11976.188439280277</v>
      </c>
      <c r="K40" s="535"/>
      <c r="L40" s="705">
        <f>H40*0.06</f>
        <v>4.9925999999999995</v>
      </c>
      <c r="P40" s="797">
        <f t="shared" si="0"/>
        <v>9228.8210999999992</v>
      </c>
    </row>
    <row r="41" spans="1:16" ht="15" x14ac:dyDescent="0.25">
      <c r="A41" s="695">
        <v>5</v>
      </c>
      <c r="B41" s="694"/>
      <c r="C41" s="695"/>
      <c r="D41" s="380" t="s">
        <v>65</v>
      </c>
      <c r="E41" s="695"/>
      <c r="F41" s="381"/>
      <c r="G41" s="829"/>
      <c r="H41" s="603"/>
      <c r="I41" s="603"/>
      <c r="J41" s="384">
        <f>SUM(J42:J53)</f>
        <v>139772.76186374688</v>
      </c>
      <c r="K41" s="704">
        <f>J41/$J$189</f>
        <v>0.11618981793889401</v>
      </c>
      <c r="M41" s="706">
        <v>180512.44360000003</v>
      </c>
      <c r="P41" s="797">
        <f t="shared" si="0"/>
        <v>0</v>
      </c>
    </row>
    <row r="42" spans="1:16" ht="23.25" customHeight="1" x14ac:dyDescent="0.2">
      <c r="A42" s="66" t="s">
        <v>63</v>
      </c>
      <c r="B42" s="70" t="s">
        <v>267</v>
      </c>
      <c r="C42" s="115">
        <v>260168</v>
      </c>
      <c r="D42" s="116" t="s">
        <v>955</v>
      </c>
      <c r="E42" s="66" t="s">
        <v>68</v>
      </c>
      <c r="F42" s="307">
        <f>URB.5!D30</f>
        <v>2844.6099999999997</v>
      </c>
      <c r="G42" s="830">
        <v>22.35</v>
      </c>
      <c r="H42" s="709">
        <f>G42*$M$8+G42</f>
        <v>17.209500000000002</v>
      </c>
      <c r="I42" s="710">
        <f t="shared" si="2"/>
        <v>22.332669873272764</v>
      </c>
      <c r="J42" s="533">
        <f>I42*F42</f>
        <v>63527.736048210427</v>
      </c>
      <c r="K42" s="535"/>
      <c r="P42" s="797">
        <f t="shared" si="0"/>
        <v>48954.315795000002</v>
      </c>
    </row>
    <row r="43" spans="1:16" ht="40.5" customHeight="1" x14ac:dyDescent="0.2">
      <c r="A43" s="66" t="s">
        <v>94</v>
      </c>
      <c r="B43" s="70" t="s">
        <v>12</v>
      </c>
      <c r="C43" s="115">
        <v>98511</v>
      </c>
      <c r="D43" s="117" t="s">
        <v>689</v>
      </c>
      <c r="E43" s="66" t="s">
        <v>124</v>
      </c>
      <c r="F43" s="307">
        <f>URB.5!C35</f>
        <v>22</v>
      </c>
      <c r="G43" s="830">
        <v>109.65</v>
      </c>
      <c r="H43" s="709">
        <f>G43*$M$8+G43</f>
        <v>84.430499999999995</v>
      </c>
      <c r="I43" s="710">
        <f t="shared" si="2"/>
        <v>109.56497770041869</v>
      </c>
      <c r="J43" s="533">
        <f>I43*F43</f>
        <v>2410.4295094092113</v>
      </c>
      <c r="K43" s="535"/>
      <c r="P43" s="797">
        <f t="shared" si="0"/>
        <v>1857.471</v>
      </c>
    </row>
    <row r="44" spans="1:16" ht="24.75" customHeight="1" x14ac:dyDescent="0.2">
      <c r="A44" s="66" t="s">
        <v>95</v>
      </c>
      <c r="B44" s="1081" t="str">
        <f>COMPOSIÇÕES!A84</f>
        <v>COMPOSIÇÃO 8</v>
      </c>
      <c r="C44" s="1082"/>
      <c r="D44" s="118" t="str">
        <f>COMPOSIÇÕES!A85</f>
        <v>PLANTIO DE MUDA  DE ARBUSTO, INCLUINDO TERRA PRETA</v>
      </c>
      <c r="E44" s="66" t="s">
        <v>124</v>
      </c>
      <c r="F44" s="308">
        <f>URB.5!C47</f>
        <v>870</v>
      </c>
      <c r="G44" s="831">
        <f>COMPOSIÇÕES!G91</f>
        <v>0</v>
      </c>
      <c r="H44" s="723">
        <f>COMPOSIÇÕES!H91</f>
        <v>3.97</v>
      </c>
      <c r="I44" s="710">
        <f t="shared" si="2"/>
        <v>5.1518463288818879</v>
      </c>
      <c r="J44" s="724">
        <f>I44*F44</f>
        <v>4482.1063061272425</v>
      </c>
      <c r="K44" s="718"/>
      <c r="P44" s="797">
        <f t="shared" si="0"/>
        <v>3453.9</v>
      </c>
    </row>
    <row r="45" spans="1:16" ht="16.5" customHeight="1" x14ac:dyDescent="0.2">
      <c r="A45" s="416" t="s">
        <v>975</v>
      </c>
      <c r="B45" s="725"/>
      <c r="C45" s="406"/>
      <c r="D45" s="726" t="s">
        <v>120</v>
      </c>
      <c r="E45" s="415"/>
      <c r="F45" s="407"/>
      <c r="G45" s="835"/>
      <c r="H45" s="609"/>
      <c r="I45" s="727"/>
      <c r="J45" s="728"/>
      <c r="K45" s="729"/>
      <c r="P45" s="797">
        <f t="shared" si="0"/>
        <v>0</v>
      </c>
    </row>
    <row r="46" spans="1:16" ht="34.5" customHeight="1" x14ac:dyDescent="0.2">
      <c r="A46" s="63" t="s">
        <v>976</v>
      </c>
      <c r="B46" s="69" t="s">
        <v>12</v>
      </c>
      <c r="C46" s="720" t="s">
        <v>117</v>
      </c>
      <c r="D46" s="730" t="s">
        <v>298</v>
      </c>
      <c r="E46" s="63" t="s">
        <v>56</v>
      </c>
      <c r="F46" s="168">
        <f>URB.5!C56</f>
        <v>1.04</v>
      </c>
      <c r="G46" s="836">
        <v>67.599999999999994</v>
      </c>
      <c r="H46" s="709">
        <f>G46*$M$8+G46</f>
        <v>52.051999999999992</v>
      </c>
      <c r="I46" s="710">
        <f t="shared" si="2"/>
        <v>67.547583151375321</v>
      </c>
      <c r="J46" s="119">
        <f t="shared" ref="J46:J49" si="7">ROUND(I46*F46,2)</f>
        <v>70.25</v>
      </c>
      <c r="K46" s="712"/>
      <c r="M46" s="731">
        <f>(J46:J50)</f>
        <v>70.25</v>
      </c>
      <c r="P46" s="797">
        <f t="shared" si="0"/>
        <v>54.134079999999997</v>
      </c>
    </row>
    <row r="47" spans="1:16" ht="51" customHeight="1" x14ac:dyDescent="0.2">
      <c r="A47" s="63" t="s">
        <v>977</v>
      </c>
      <c r="B47" s="70" t="s">
        <v>12</v>
      </c>
      <c r="C47" s="721" t="s">
        <v>694</v>
      </c>
      <c r="D47" s="67" t="s">
        <v>695</v>
      </c>
      <c r="E47" s="66" t="s">
        <v>68</v>
      </c>
      <c r="F47" s="170">
        <f>URB.5!D63</f>
        <v>7.8</v>
      </c>
      <c r="G47" s="837">
        <v>125.06</v>
      </c>
      <c r="H47" s="709">
        <f>G47*$M$8+G47</f>
        <v>96.296199999999999</v>
      </c>
      <c r="I47" s="710">
        <f t="shared" si="2"/>
        <v>124.96302883004435</v>
      </c>
      <c r="J47" s="105">
        <f t="shared" si="7"/>
        <v>974.71</v>
      </c>
      <c r="K47" s="535"/>
      <c r="P47" s="797">
        <f t="shared" si="0"/>
        <v>751.11036000000001</v>
      </c>
    </row>
    <row r="48" spans="1:16" ht="42" customHeight="1" x14ac:dyDescent="0.2">
      <c r="A48" s="63" t="s">
        <v>978</v>
      </c>
      <c r="B48" s="70" t="s">
        <v>12</v>
      </c>
      <c r="C48" s="732" t="s">
        <v>367</v>
      </c>
      <c r="D48" s="120" t="s">
        <v>924</v>
      </c>
      <c r="E48" s="66" t="s">
        <v>68</v>
      </c>
      <c r="F48" s="173">
        <f>URB.5!H69</f>
        <v>2.08</v>
      </c>
      <c r="G48" s="838">
        <v>17.96</v>
      </c>
      <c r="H48" s="709">
        <f>G48*$M$8+G48</f>
        <v>13.8292</v>
      </c>
      <c r="I48" s="710">
        <f t="shared" si="2"/>
        <v>17.946073866844685</v>
      </c>
      <c r="J48" s="105">
        <f t="shared" ref="J48" si="8">ROUND(I48*F48,2)</f>
        <v>37.33</v>
      </c>
      <c r="K48" s="718"/>
      <c r="P48" s="797">
        <f t="shared" si="0"/>
        <v>28.764736000000003</v>
      </c>
    </row>
    <row r="49" spans="1:17" ht="34.5" customHeight="1" x14ac:dyDescent="0.2">
      <c r="A49" s="63" t="s">
        <v>979</v>
      </c>
      <c r="B49" s="110" t="s">
        <v>12</v>
      </c>
      <c r="C49" s="732" t="s">
        <v>275</v>
      </c>
      <c r="D49" s="120" t="s">
        <v>276</v>
      </c>
      <c r="E49" s="68" t="s">
        <v>56</v>
      </c>
      <c r="F49" s="173">
        <f>URB.5!C78</f>
        <v>0.59</v>
      </c>
      <c r="G49" s="838">
        <v>545.9</v>
      </c>
      <c r="H49" s="709">
        <f>G49*$M$8+G49</f>
        <v>420.34299999999996</v>
      </c>
      <c r="I49" s="710">
        <f t="shared" si="2"/>
        <v>545.47671068544059</v>
      </c>
      <c r="J49" s="121">
        <f t="shared" si="7"/>
        <v>321.83</v>
      </c>
      <c r="K49" s="718"/>
      <c r="P49" s="797">
        <f t="shared" si="0"/>
        <v>248.00236999999996</v>
      </c>
    </row>
    <row r="50" spans="1:17" ht="27.75" customHeight="1" x14ac:dyDescent="0.2">
      <c r="A50" s="63" t="s">
        <v>980</v>
      </c>
      <c r="B50" s="733" t="s">
        <v>267</v>
      </c>
      <c r="C50" s="104">
        <v>251510</v>
      </c>
      <c r="D50" s="734" t="s">
        <v>724</v>
      </c>
      <c r="E50" s="735" t="s">
        <v>124</v>
      </c>
      <c r="F50" s="173">
        <f>URB.5!C82</f>
        <v>13</v>
      </c>
      <c r="G50" s="838">
        <v>757.3</v>
      </c>
      <c r="H50" s="709">
        <f>G50*$M$8+G50</f>
        <v>583.12099999999998</v>
      </c>
      <c r="I50" s="710">
        <f t="shared" si="2"/>
        <v>756.71279172391314</v>
      </c>
      <c r="J50" s="121">
        <f>ROUND(I50*F50,2)</f>
        <v>9837.27</v>
      </c>
      <c r="K50" s="718"/>
      <c r="P50" s="797">
        <f t="shared" si="0"/>
        <v>7580.5729999999994</v>
      </c>
    </row>
    <row r="51" spans="1:17" ht="15" x14ac:dyDescent="0.2">
      <c r="A51" s="402" t="s">
        <v>981</v>
      </c>
      <c r="B51" s="403"/>
      <c r="C51" s="404"/>
      <c r="D51" s="405" t="s">
        <v>119</v>
      </c>
      <c r="E51" s="402"/>
      <c r="F51" s="736"/>
      <c r="G51" s="839"/>
      <c r="H51" s="610"/>
      <c r="I51" s="610"/>
      <c r="J51" s="737"/>
      <c r="K51" s="738"/>
      <c r="P51" s="797">
        <f t="shared" si="0"/>
        <v>0</v>
      </c>
    </row>
    <row r="52" spans="1:17" ht="66" customHeight="1" x14ac:dyDescent="0.2">
      <c r="A52" s="66" t="s">
        <v>982</v>
      </c>
      <c r="B52" s="1073" t="str">
        <f>COMPOSIÇÕES!A93</f>
        <v>COMPOSIÇÃO 9</v>
      </c>
      <c r="C52" s="1074"/>
      <c r="D52" s="734" t="str">
        <f>COMPOSIÇÕES!A94</f>
        <v>BANCO ARQUEADO TIPO A -  EM CONCRETO ARMADO 20MPA, 13,50M DE COMPRIMENTO, LARGURA 0,50 DE ASSENTO, ALTURA 0,45 DO PISO. FUNDAÇÃO EM CONCRETO CICLÓPICO - FORNECIMENTO E EXECUÇÃO</v>
      </c>
      <c r="E52" s="66" t="s">
        <v>124</v>
      </c>
      <c r="F52" s="236">
        <f>URB.5!C88</f>
        <v>9</v>
      </c>
      <c r="G52" s="837">
        <f>COMPOSIÇÕES!G104</f>
        <v>0</v>
      </c>
      <c r="H52" s="611">
        <f>COMPOSIÇÕES!H104</f>
        <v>3615.51</v>
      </c>
      <c r="I52" s="608">
        <f t="shared" si="2"/>
        <v>4691.8266802357066</v>
      </c>
      <c r="J52" s="105">
        <f>ROUND(I52*F52,2)</f>
        <v>42226.44</v>
      </c>
      <c r="K52" s="535"/>
      <c r="P52" s="797">
        <f t="shared" si="0"/>
        <v>32539.590000000004</v>
      </c>
    </row>
    <row r="53" spans="1:17" ht="61.5" customHeight="1" x14ac:dyDescent="0.2">
      <c r="A53" s="66" t="s">
        <v>983</v>
      </c>
      <c r="B53" s="1073" t="str">
        <f>COMPOSIÇÕES!A106</f>
        <v>COMPOSIÇÃO 10</v>
      </c>
      <c r="C53" s="1074"/>
      <c r="D53" s="67" t="str">
        <f>COMPOSIÇÕES!A107</f>
        <v>BANCO ARQUEADO TIPO B - EM CONCRETO ARMADO 20MPA, 22,85M DE COMPRIMENTO, LARGURA 0,50 DE ASSENTO, ALTURA 0,45 DO PISO. FUNDAÇÃO EM CONCRETO CICLÓPICO - FORNECIMENTO E EXECUÇÃO</v>
      </c>
      <c r="E53" s="66" t="s">
        <v>124</v>
      </c>
      <c r="F53" s="236">
        <f>URB.5!C92</f>
        <v>2</v>
      </c>
      <c r="G53" s="837">
        <f>COMPOSIÇÕES!G117</f>
        <v>0</v>
      </c>
      <c r="H53" s="611">
        <f>COMPOSIÇÕES!H117</f>
        <v>6120.34</v>
      </c>
      <c r="I53" s="710">
        <f t="shared" si="2"/>
        <v>7942.3302671307247</v>
      </c>
      <c r="J53" s="105">
        <f>ROUND(I53*F53,2)</f>
        <v>15884.66</v>
      </c>
      <c r="K53" s="535"/>
      <c r="P53" s="797">
        <f t="shared" si="0"/>
        <v>12240.68</v>
      </c>
    </row>
    <row r="54" spans="1:17" s="739" customFormat="1" ht="23.25" customHeight="1" x14ac:dyDescent="0.25">
      <c r="A54" s="695">
        <v>6</v>
      </c>
      <c r="B54" s="385"/>
      <c r="C54" s="386"/>
      <c r="D54" s="380" t="s">
        <v>681</v>
      </c>
      <c r="E54" s="695"/>
      <c r="F54" s="381"/>
      <c r="G54" s="827"/>
      <c r="H54" s="381"/>
      <c r="I54" s="384"/>
      <c r="J54" s="384">
        <f>SUM(J55:J79)</f>
        <v>62448.240000000005</v>
      </c>
      <c r="K54" s="704">
        <f>J54/$J$189</f>
        <v>5.1911756907812252E-2</v>
      </c>
      <c r="L54" s="705"/>
      <c r="M54" s="706">
        <v>67370.28</v>
      </c>
      <c r="N54" s="705"/>
      <c r="O54" s="705"/>
      <c r="P54" s="797">
        <f t="shared" si="0"/>
        <v>0</v>
      </c>
      <c r="Q54" s="705"/>
    </row>
    <row r="55" spans="1:17" s="739" customFormat="1" ht="23.25" customHeight="1" x14ac:dyDescent="0.2">
      <c r="A55" s="408" t="s">
        <v>24</v>
      </c>
      <c r="B55" s="412"/>
      <c r="C55" s="413"/>
      <c r="D55" s="409" t="s">
        <v>634</v>
      </c>
      <c r="E55" s="408"/>
      <c r="F55" s="410"/>
      <c r="G55" s="840"/>
      <c r="H55" s="410"/>
      <c r="I55" s="411"/>
      <c r="J55" s="411"/>
      <c r="K55" s="740"/>
      <c r="L55" s="705"/>
      <c r="M55" s="705"/>
      <c r="N55" s="705"/>
      <c r="O55" s="705"/>
      <c r="P55" s="797">
        <f t="shared" si="0"/>
        <v>0</v>
      </c>
      <c r="Q55" s="705"/>
    </row>
    <row r="56" spans="1:17" s="739" customFormat="1" x14ac:dyDescent="0.2">
      <c r="A56" s="63" t="s">
        <v>984</v>
      </c>
      <c r="B56" s="70" t="s">
        <v>267</v>
      </c>
      <c r="C56" s="720" t="s">
        <v>765</v>
      </c>
      <c r="D56" s="730" t="s">
        <v>766</v>
      </c>
      <c r="E56" s="63" t="s">
        <v>56</v>
      </c>
      <c r="F56" s="168">
        <f>PLAY.6!C25</f>
        <v>2.1546000000000007</v>
      </c>
      <c r="G56" s="841">
        <v>51.21</v>
      </c>
      <c r="H56" s="709">
        <f>G56*$M$8+G56</f>
        <v>39.431699999999999</v>
      </c>
      <c r="I56" s="710">
        <f t="shared" ref="I56:I79" si="9">H56*$B$7+H56</f>
        <v>51.170291910975301</v>
      </c>
      <c r="J56" s="119">
        <f>ROUND(I56*F56,2)</f>
        <v>110.25</v>
      </c>
      <c r="K56" s="712"/>
      <c r="L56" s="705"/>
      <c r="M56" s="705"/>
      <c r="N56" s="705"/>
      <c r="O56" s="705"/>
      <c r="P56" s="797">
        <f t="shared" si="0"/>
        <v>84.959540820000029</v>
      </c>
      <c r="Q56" s="705"/>
    </row>
    <row r="57" spans="1:17" s="739" customFormat="1" ht="42.75" x14ac:dyDescent="0.2">
      <c r="A57" s="63" t="s">
        <v>985</v>
      </c>
      <c r="B57" s="70" t="s">
        <v>12</v>
      </c>
      <c r="C57" s="721">
        <v>96617</v>
      </c>
      <c r="D57" s="67" t="s">
        <v>369</v>
      </c>
      <c r="E57" s="742" t="s">
        <v>68</v>
      </c>
      <c r="F57" s="170">
        <f>PLAY.6!C33</f>
        <v>3.4200000000000008</v>
      </c>
      <c r="G57" s="842">
        <v>17.96</v>
      </c>
      <c r="H57" s="709">
        <f>G57*$M$8+G57</f>
        <v>13.8292</v>
      </c>
      <c r="I57" s="710">
        <f t="shared" si="9"/>
        <v>17.946073866844685</v>
      </c>
      <c r="J57" s="105">
        <f>ROUND(I57*F57,2)</f>
        <v>61.38</v>
      </c>
      <c r="K57" s="535"/>
      <c r="L57" s="705"/>
      <c r="M57" s="705"/>
      <c r="N57" s="705"/>
      <c r="O57" s="705"/>
      <c r="P57" s="797">
        <f t="shared" si="0"/>
        <v>47.295864000000009</v>
      </c>
      <c r="Q57" s="705"/>
    </row>
    <row r="58" spans="1:17" s="739" customFormat="1" ht="45.75" customHeight="1" x14ac:dyDescent="0.2">
      <c r="A58" s="63" t="s">
        <v>986</v>
      </c>
      <c r="B58" s="110" t="s">
        <v>12</v>
      </c>
      <c r="C58" s="732">
        <v>96534</v>
      </c>
      <c r="D58" s="67" t="s">
        <v>370</v>
      </c>
      <c r="E58" s="743" t="s">
        <v>68</v>
      </c>
      <c r="F58" s="170">
        <f>PLAY.6!C41</f>
        <v>13.680000000000001</v>
      </c>
      <c r="G58" s="842">
        <v>74.55</v>
      </c>
      <c r="H58" s="709">
        <f>G58*$M$8+G58</f>
        <v>57.403499999999994</v>
      </c>
      <c r="I58" s="710">
        <f t="shared" si="9"/>
        <v>74.492194141050732</v>
      </c>
      <c r="J58" s="105">
        <f>ROUND(I58*F58,2)</f>
        <v>1019.05</v>
      </c>
      <c r="K58" s="535"/>
      <c r="L58" s="705"/>
      <c r="M58" s="705"/>
      <c r="N58" s="705"/>
      <c r="O58" s="705"/>
      <c r="P58" s="797">
        <f t="shared" si="0"/>
        <v>785.27988000000005</v>
      </c>
      <c r="Q58" s="705"/>
    </row>
    <row r="59" spans="1:17" s="739" customFormat="1" ht="37.5" customHeight="1" x14ac:dyDescent="0.2">
      <c r="A59" s="63" t="s">
        <v>987</v>
      </c>
      <c r="B59" s="70" t="s">
        <v>12</v>
      </c>
      <c r="C59" s="721" t="s">
        <v>275</v>
      </c>
      <c r="D59" s="114" t="s">
        <v>276</v>
      </c>
      <c r="E59" s="63" t="s">
        <v>56</v>
      </c>
      <c r="F59" s="170">
        <f>PLAY.6!C49</f>
        <v>0.68</v>
      </c>
      <c r="G59" s="843">
        <v>545.9</v>
      </c>
      <c r="H59" s="709">
        <f>G59*$M$8+G59</f>
        <v>420.34299999999996</v>
      </c>
      <c r="I59" s="710">
        <f t="shared" si="9"/>
        <v>545.47671068544059</v>
      </c>
      <c r="J59" s="105">
        <f>ROUND(I59*F59,2)</f>
        <v>370.92</v>
      </c>
      <c r="K59" s="535"/>
      <c r="L59" s="705"/>
      <c r="M59" s="705"/>
      <c r="N59" s="705"/>
      <c r="O59" s="705"/>
      <c r="P59" s="797">
        <f t="shared" si="0"/>
        <v>285.83323999999999</v>
      </c>
      <c r="Q59" s="705"/>
    </row>
    <row r="60" spans="1:17" s="739" customFormat="1" ht="23.25" customHeight="1" x14ac:dyDescent="0.2">
      <c r="A60" s="408" t="s">
        <v>14</v>
      </c>
      <c r="B60" s="412"/>
      <c r="C60" s="413"/>
      <c r="D60" s="409" t="s">
        <v>635</v>
      </c>
      <c r="E60" s="408"/>
      <c r="F60" s="410"/>
      <c r="G60" s="840"/>
      <c r="H60" s="411"/>
      <c r="I60" s="411"/>
      <c r="J60" s="411"/>
      <c r="K60" s="740"/>
      <c r="L60" s="705"/>
      <c r="M60" s="705"/>
      <c r="N60" s="705"/>
      <c r="O60" s="705"/>
      <c r="P60" s="797">
        <f t="shared" si="0"/>
        <v>0</v>
      </c>
      <c r="Q60" s="705"/>
    </row>
    <row r="61" spans="1:17" s="739" customFormat="1" ht="19.5" customHeight="1" x14ac:dyDescent="0.2">
      <c r="A61" s="63" t="s">
        <v>988</v>
      </c>
      <c r="B61" s="70" t="s">
        <v>267</v>
      </c>
      <c r="C61" s="720" t="s">
        <v>765</v>
      </c>
      <c r="D61" s="730" t="s">
        <v>766</v>
      </c>
      <c r="E61" s="63" t="s">
        <v>56</v>
      </c>
      <c r="F61" s="170">
        <f>PLAY.6!C83</f>
        <v>111.71</v>
      </c>
      <c r="G61" s="841">
        <v>51.21</v>
      </c>
      <c r="H61" s="709">
        <f>G61*$M$8+G61</f>
        <v>39.431699999999999</v>
      </c>
      <c r="I61" s="710">
        <f t="shared" si="9"/>
        <v>51.170291910975301</v>
      </c>
      <c r="J61" s="105">
        <f>ROUND(I61*F61,2)</f>
        <v>5716.23</v>
      </c>
      <c r="K61" s="535"/>
      <c r="L61" s="705"/>
      <c r="M61" s="705"/>
      <c r="N61" s="705"/>
      <c r="O61" s="705"/>
      <c r="P61" s="797">
        <f t="shared" si="0"/>
        <v>4404.915207</v>
      </c>
      <c r="Q61" s="705"/>
    </row>
    <row r="62" spans="1:17" s="739" customFormat="1" ht="35.25" customHeight="1" x14ac:dyDescent="0.2">
      <c r="A62" s="63" t="s">
        <v>989</v>
      </c>
      <c r="B62" s="70" t="s">
        <v>12</v>
      </c>
      <c r="C62" s="721" t="s">
        <v>682</v>
      </c>
      <c r="D62" s="67" t="s">
        <v>683</v>
      </c>
      <c r="E62" s="743" t="s">
        <v>68</v>
      </c>
      <c r="F62" s="170">
        <f>PLAY.6!C87</f>
        <v>111.71</v>
      </c>
      <c r="G62" s="842">
        <v>2.16</v>
      </c>
      <c r="H62" s="709">
        <f>G62*$M$8+G62</f>
        <v>1.6632</v>
      </c>
      <c r="I62" s="710">
        <f t="shared" si="9"/>
        <v>2.1583251421149514</v>
      </c>
      <c r="J62" s="105">
        <f>ROUND(I62*F62,2)</f>
        <v>241.11</v>
      </c>
      <c r="K62" s="535"/>
      <c r="L62" s="705"/>
      <c r="M62" s="705"/>
      <c r="N62" s="705"/>
      <c r="O62" s="705"/>
      <c r="P62" s="797">
        <f t="shared" si="0"/>
        <v>185.79607199999998</v>
      </c>
      <c r="Q62" s="705"/>
    </row>
    <row r="63" spans="1:17" s="739" customFormat="1" ht="42.75" x14ac:dyDescent="0.2">
      <c r="A63" s="63" t="s">
        <v>990</v>
      </c>
      <c r="B63" s="70" t="s">
        <v>12</v>
      </c>
      <c r="C63" s="732" t="s">
        <v>684</v>
      </c>
      <c r="D63" s="67" t="s">
        <v>685</v>
      </c>
      <c r="E63" s="63" t="s">
        <v>56</v>
      </c>
      <c r="F63" s="170">
        <f>PLAY.6!C95</f>
        <v>33.51</v>
      </c>
      <c r="G63" s="842">
        <v>189.22</v>
      </c>
      <c r="H63" s="709">
        <f>G63*$M$8+G63</f>
        <v>145.6994</v>
      </c>
      <c r="I63" s="710">
        <f t="shared" si="9"/>
        <v>189.07327934768105</v>
      </c>
      <c r="J63" s="105">
        <f>ROUND(I63*F63,2)</f>
        <v>6335.85</v>
      </c>
      <c r="K63" s="535"/>
      <c r="L63" s="705"/>
      <c r="M63" s="705"/>
      <c r="N63" s="705"/>
      <c r="O63" s="705"/>
      <c r="P63" s="797">
        <f t="shared" si="0"/>
        <v>4882.3868939999993</v>
      </c>
      <c r="Q63" s="705"/>
    </row>
    <row r="64" spans="1:17" s="739" customFormat="1" ht="23.25" customHeight="1" x14ac:dyDescent="0.2">
      <c r="A64" s="408" t="s">
        <v>25</v>
      </c>
      <c r="B64" s="414"/>
      <c r="C64" s="415"/>
      <c r="D64" s="409" t="s">
        <v>636</v>
      </c>
      <c r="E64" s="408"/>
      <c r="F64" s="410"/>
      <c r="G64" s="840"/>
      <c r="H64" s="410"/>
      <c r="I64" s="410"/>
      <c r="J64" s="411"/>
      <c r="K64" s="740"/>
      <c r="L64" s="705"/>
      <c r="M64" s="705"/>
      <c r="N64" s="705"/>
      <c r="O64" s="705"/>
      <c r="P64" s="797">
        <f t="shared" si="0"/>
        <v>0</v>
      </c>
      <c r="Q64" s="705"/>
    </row>
    <row r="65" spans="1:17" s="739" customFormat="1" ht="76.5" customHeight="1" x14ac:dyDescent="0.2">
      <c r="A65" s="63" t="s">
        <v>1048</v>
      </c>
      <c r="B65" s="66" t="s">
        <v>12</v>
      </c>
      <c r="C65" s="66">
        <v>102362</v>
      </c>
      <c r="D65" s="114" t="s">
        <v>686</v>
      </c>
      <c r="E65" s="742" t="s">
        <v>68</v>
      </c>
      <c r="F65" s="170">
        <f>PLAY.6!C109</f>
        <v>73.399999999999991</v>
      </c>
      <c r="G65" s="843">
        <v>171.48</v>
      </c>
      <c r="H65" s="709">
        <f>G65*$M$8+G65</f>
        <v>132.03960000000001</v>
      </c>
      <c r="I65" s="710">
        <f t="shared" si="9"/>
        <v>171.34703489345918</v>
      </c>
      <c r="J65" s="105">
        <f>ROUND(I65*F65,2)</f>
        <v>12576.87</v>
      </c>
      <c r="K65" s="718"/>
      <c r="L65" s="705"/>
      <c r="M65" s="731"/>
      <c r="N65" s="705"/>
      <c r="O65" s="705"/>
      <c r="P65" s="797">
        <f t="shared" si="0"/>
        <v>9691.7066399999985</v>
      </c>
      <c r="Q65" s="705"/>
    </row>
    <row r="66" spans="1:17" s="739" customFormat="1" ht="21.75" customHeight="1" x14ac:dyDescent="0.2">
      <c r="A66" s="63" t="s">
        <v>1049</v>
      </c>
      <c r="B66" s="70" t="s">
        <v>267</v>
      </c>
      <c r="C66" s="64" t="s">
        <v>687</v>
      </c>
      <c r="D66" s="65" t="s">
        <v>688</v>
      </c>
      <c r="E66" s="742" t="s">
        <v>68</v>
      </c>
      <c r="F66" s="170">
        <f>PLAY.6!C117</f>
        <v>3.2</v>
      </c>
      <c r="G66" s="842">
        <v>438.87</v>
      </c>
      <c r="H66" s="709">
        <f>G66*$M$8+G66</f>
        <v>337.92989999999998</v>
      </c>
      <c r="I66" s="710">
        <f t="shared" si="9"/>
        <v>438.52970144443918</v>
      </c>
      <c r="J66" s="105">
        <f>ROUND(I66*F66,2)</f>
        <v>1403.3</v>
      </c>
      <c r="K66" s="712"/>
      <c r="L66" s="705"/>
      <c r="M66" s="705"/>
      <c r="N66" s="705"/>
      <c r="O66" s="705"/>
      <c r="P66" s="797">
        <f t="shared" si="0"/>
        <v>1081.3756799999999</v>
      </c>
      <c r="Q66" s="705"/>
    </row>
    <row r="67" spans="1:17" s="739" customFormat="1" ht="61.5" customHeight="1" x14ac:dyDescent="0.2">
      <c r="A67" s="63" t="s">
        <v>1050</v>
      </c>
      <c r="B67" s="70" t="s">
        <v>12</v>
      </c>
      <c r="C67" s="721" t="s">
        <v>473</v>
      </c>
      <c r="D67" s="67" t="s">
        <v>474</v>
      </c>
      <c r="E67" s="743" t="s">
        <v>68</v>
      </c>
      <c r="F67" s="170">
        <f>PLAY.6!C125</f>
        <v>153.19999999999999</v>
      </c>
      <c r="G67" s="842">
        <v>37.08</v>
      </c>
      <c r="H67" s="709">
        <f>G67*$M$8+G67</f>
        <v>28.551600000000001</v>
      </c>
      <c r="I67" s="710">
        <f t="shared" si="9"/>
        <v>37.051248272973332</v>
      </c>
      <c r="J67" s="105">
        <f>ROUND(I67*F67,2)</f>
        <v>5676.25</v>
      </c>
      <c r="K67" s="535"/>
      <c r="L67" s="705"/>
      <c r="M67" s="705"/>
      <c r="N67" s="705"/>
      <c r="O67" s="705"/>
      <c r="P67" s="797">
        <f t="shared" si="0"/>
        <v>4374.1051200000002</v>
      </c>
      <c r="Q67" s="705"/>
    </row>
    <row r="68" spans="1:17" s="739" customFormat="1" ht="23.25" customHeight="1" x14ac:dyDescent="0.2">
      <c r="A68" s="408" t="s">
        <v>44</v>
      </c>
      <c r="B68" s="412"/>
      <c r="C68" s="413"/>
      <c r="D68" s="409" t="s">
        <v>637</v>
      </c>
      <c r="E68" s="408"/>
      <c r="F68" s="410"/>
      <c r="G68" s="840"/>
      <c r="H68" s="410"/>
      <c r="I68" s="411"/>
      <c r="J68" s="411"/>
      <c r="K68" s="740"/>
      <c r="L68" s="705"/>
      <c r="M68" s="705"/>
      <c r="N68" s="705"/>
      <c r="O68" s="705"/>
      <c r="P68" s="797">
        <f t="shared" si="0"/>
        <v>0</v>
      </c>
      <c r="Q68" s="705"/>
    </row>
    <row r="69" spans="1:17" s="739" customFormat="1" ht="22.5" customHeight="1" x14ac:dyDescent="0.2">
      <c r="A69" s="63" t="s">
        <v>726</v>
      </c>
      <c r="B69" s="1073" t="str">
        <f>COMPOSIÇÕES!A119</f>
        <v>COMPOSIÇÃO 11</v>
      </c>
      <c r="C69" s="1074"/>
      <c r="D69" s="67" t="str">
        <f>COMPOSIÇÕES!A120</f>
        <v>CARROSSEL - FORNECIMENTO E INSTALAÇÃO</v>
      </c>
      <c r="E69" s="743" t="s">
        <v>124</v>
      </c>
      <c r="F69" s="170">
        <f>PLAY.6!C131</f>
        <v>1</v>
      </c>
      <c r="G69" s="842">
        <f>COMPOSIÇÕES!G123</f>
        <v>0</v>
      </c>
      <c r="H69" s="128">
        <f>COMPOSIÇÕES!H123</f>
        <v>2610.3000000000002</v>
      </c>
      <c r="I69" s="710">
        <f t="shared" si="9"/>
        <v>3387.3714035970766</v>
      </c>
      <c r="J69" s="105">
        <f>ROUND(I69*F69,2)</f>
        <v>3387.37</v>
      </c>
      <c r="K69" s="535"/>
      <c r="L69" s="705"/>
      <c r="M69" s="705"/>
      <c r="N69" s="705"/>
      <c r="O69" s="705"/>
      <c r="P69" s="797">
        <f t="shared" si="0"/>
        <v>2610.3000000000002</v>
      </c>
      <c r="Q69" s="705"/>
    </row>
    <row r="70" spans="1:17" s="739" customFormat="1" ht="22.5" customHeight="1" x14ac:dyDescent="0.2">
      <c r="A70" s="63" t="s">
        <v>727</v>
      </c>
      <c r="B70" s="1073" t="str">
        <f>COMPOSIÇÕES!A125</f>
        <v>COMPOSIÇÃO 12</v>
      </c>
      <c r="C70" s="1074"/>
      <c r="D70" s="744" t="str">
        <f>COMPOSIÇÕES!A126</f>
        <v>GANGORRA DUPLA - FORNECIMENTO E INSTALAÇÃO</v>
      </c>
      <c r="E70" s="743" t="s">
        <v>124</v>
      </c>
      <c r="F70" s="170">
        <f>PLAY.6!C135</f>
        <v>1</v>
      </c>
      <c r="G70" s="843">
        <f>COMPOSIÇÕES!G129</f>
        <v>0</v>
      </c>
      <c r="H70" s="129">
        <f>COMPOSIÇÕES!H129</f>
        <v>2040.5</v>
      </c>
      <c r="I70" s="710">
        <f t="shared" si="9"/>
        <v>2647.9451975021393</v>
      </c>
      <c r="J70" s="105">
        <f>ROUND(I70*F70,2)</f>
        <v>2647.95</v>
      </c>
      <c r="K70" s="535"/>
      <c r="L70" s="705"/>
      <c r="M70" s="705"/>
      <c r="N70" s="705"/>
      <c r="O70" s="705"/>
      <c r="P70" s="797">
        <f t="shared" si="0"/>
        <v>2040.5</v>
      </c>
      <c r="Q70" s="705"/>
    </row>
    <row r="71" spans="1:17" s="739" customFormat="1" ht="31.5" customHeight="1" x14ac:dyDescent="0.2">
      <c r="A71" s="63" t="s">
        <v>926</v>
      </c>
      <c r="B71" s="1073" t="str">
        <f>COMPOSIÇÕES!A131</f>
        <v>COMPOSIÇÃO 13</v>
      </c>
      <c r="C71" s="1074"/>
      <c r="D71" s="745" t="str">
        <f>COMPOSIÇÕES!A132</f>
        <v>ESCADA HORIZONTAL FERRO - FORNECIMENTO E INSTALAÇÃO</v>
      </c>
      <c r="E71" s="743" t="s">
        <v>124</v>
      </c>
      <c r="F71" s="170">
        <f>PLAY.6!C139</f>
        <v>1</v>
      </c>
      <c r="G71" s="842">
        <f>COMPOSIÇÕES!G135</f>
        <v>0</v>
      </c>
      <c r="H71" s="128">
        <f>COMPOSIÇÕES!H135</f>
        <v>2695</v>
      </c>
      <c r="I71" s="710">
        <f t="shared" si="9"/>
        <v>3497.2861099084857</v>
      </c>
      <c r="J71" s="105">
        <f>ROUND(I71*F71,2)</f>
        <v>3497.29</v>
      </c>
      <c r="K71" s="535"/>
      <c r="L71" s="705"/>
      <c r="M71" s="705"/>
      <c r="N71" s="705"/>
      <c r="O71" s="705"/>
      <c r="P71" s="797">
        <f t="shared" si="0"/>
        <v>2695</v>
      </c>
      <c r="Q71" s="705"/>
    </row>
    <row r="72" spans="1:17" s="739" customFormat="1" ht="33.75" customHeight="1" x14ac:dyDescent="0.2">
      <c r="A72" s="63" t="s">
        <v>927</v>
      </c>
      <c r="B72" s="1073" t="str">
        <f>COMPOSIÇÕES!A137</f>
        <v>COMPOSIÇÃO 14</v>
      </c>
      <c r="C72" s="1074"/>
      <c r="D72" s="67" t="str">
        <f>COMPOSIÇÕES!A138</f>
        <v>BALANÇO C/ 3 CADEIRA - BEIJA-FLOR - FORNECIMENTO E INSTALAÇÃO</v>
      </c>
      <c r="E72" s="743" t="s">
        <v>124</v>
      </c>
      <c r="F72" s="170">
        <f>PLAY.6!C143</f>
        <v>1</v>
      </c>
      <c r="G72" s="842">
        <f>COMPOSIÇÕES!G141</f>
        <v>0</v>
      </c>
      <c r="H72" s="128">
        <f>COMPOSIÇÕES!H141</f>
        <v>2464</v>
      </c>
      <c r="I72" s="710">
        <f t="shared" si="9"/>
        <v>3197.5187290591871</v>
      </c>
      <c r="J72" s="105">
        <f>ROUND(I72*F72,2)</f>
        <v>3197.52</v>
      </c>
      <c r="K72" s="535"/>
      <c r="L72" s="705"/>
      <c r="M72" s="705"/>
      <c r="N72" s="705"/>
      <c r="O72" s="705"/>
      <c r="P72" s="797">
        <f t="shared" si="0"/>
        <v>2464</v>
      </c>
      <c r="Q72" s="705"/>
    </row>
    <row r="73" spans="1:17" s="739" customFormat="1" ht="22.5" customHeight="1" x14ac:dyDescent="0.2">
      <c r="A73" s="63" t="s">
        <v>928</v>
      </c>
      <c r="B73" s="1073" t="str">
        <f>COMPOSIÇÕES!A143</f>
        <v>COMPOSIÇÃO 15</v>
      </c>
      <c r="C73" s="1074"/>
      <c r="D73" s="67" t="str">
        <f>COMPOSIÇÕES!A144</f>
        <v>PLAYGROUND - FORNECIMENTO E INSTALAÇÃO</v>
      </c>
      <c r="E73" s="743" t="s">
        <v>124</v>
      </c>
      <c r="F73" s="170">
        <f>PLAY.6!C147</f>
        <v>1</v>
      </c>
      <c r="G73" s="842">
        <f>COMPOSIÇÕES!G147</f>
        <v>0</v>
      </c>
      <c r="H73" s="128">
        <f>COMPOSIÇÕES!H147</f>
        <v>10048.5</v>
      </c>
      <c r="I73" s="710">
        <f t="shared" si="9"/>
        <v>13039.881066944497</v>
      </c>
      <c r="J73" s="105">
        <f>ROUND(I73*F73,2)</f>
        <v>13039.88</v>
      </c>
      <c r="K73" s="535"/>
      <c r="L73" s="705"/>
      <c r="M73" s="705"/>
      <c r="N73" s="705"/>
      <c r="O73" s="705"/>
      <c r="P73" s="797">
        <f t="shared" si="0"/>
        <v>10048.5</v>
      </c>
      <c r="Q73" s="705"/>
    </row>
    <row r="74" spans="1:17" s="739" customFormat="1" ht="23.25" customHeight="1" x14ac:dyDescent="0.2">
      <c r="A74" s="408" t="s">
        <v>728</v>
      </c>
      <c r="B74" s="412"/>
      <c r="C74" s="413"/>
      <c r="D74" s="409" t="s">
        <v>648</v>
      </c>
      <c r="E74" s="408"/>
      <c r="F74" s="410"/>
      <c r="G74" s="840"/>
      <c r="H74" s="410"/>
      <c r="I74" s="410"/>
      <c r="J74" s="411"/>
      <c r="K74" s="740"/>
      <c r="L74" s="705"/>
      <c r="M74" s="705"/>
      <c r="N74" s="705"/>
      <c r="O74" s="705"/>
      <c r="P74" s="797">
        <f t="shared" si="0"/>
        <v>0</v>
      </c>
      <c r="Q74" s="705"/>
    </row>
    <row r="75" spans="1:17" s="623" customFormat="1" ht="24.75" customHeight="1" x14ac:dyDescent="0.2">
      <c r="A75" s="69" t="s">
        <v>729</v>
      </c>
      <c r="B75" s="70" t="s">
        <v>267</v>
      </c>
      <c r="C75" s="720" t="s">
        <v>765</v>
      </c>
      <c r="D75" s="730" t="s">
        <v>766</v>
      </c>
      <c r="E75" s="63" t="s">
        <v>56</v>
      </c>
      <c r="F75" s="319">
        <f>PLAY.6!C192</f>
        <v>2.9899999999999998</v>
      </c>
      <c r="G75" s="841">
        <v>51.21</v>
      </c>
      <c r="H75" s="709">
        <f>G75*$M$8+G75</f>
        <v>39.431699999999999</v>
      </c>
      <c r="I75" s="710">
        <f t="shared" si="9"/>
        <v>51.170291910975301</v>
      </c>
      <c r="J75" s="265">
        <f>ROUND(I75*F75,2)</f>
        <v>153</v>
      </c>
      <c r="K75" s="746"/>
      <c r="L75" s="644"/>
      <c r="M75" s="644"/>
      <c r="N75" s="644"/>
      <c r="O75" s="644"/>
      <c r="P75" s="797">
        <f t="shared" si="0"/>
        <v>117.90078299999999</v>
      </c>
      <c r="Q75" s="644"/>
    </row>
    <row r="76" spans="1:17" s="623" customFormat="1" ht="42.75" x14ac:dyDescent="0.2">
      <c r="A76" s="69" t="s">
        <v>730</v>
      </c>
      <c r="B76" s="70" t="s">
        <v>12</v>
      </c>
      <c r="C76" s="70" t="s">
        <v>367</v>
      </c>
      <c r="D76" s="688" t="s">
        <v>369</v>
      </c>
      <c r="E76" s="742" t="s">
        <v>68</v>
      </c>
      <c r="F76" s="319">
        <f>PLAY.6!C220</f>
        <v>3.6</v>
      </c>
      <c r="G76" s="843">
        <v>17.96</v>
      </c>
      <c r="H76" s="709">
        <f>G76*$M$8+G76</f>
        <v>13.8292</v>
      </c>
      <c r="I76" s="710">
        <f t="shared" si="9"/>
        <v>17.946073866844685</v>
      </c>
      <c r="J76" s="265">
        <f>ROUND(I76*F76,2)</f>
        <v>64.61</v>
      </c>
      <c r="K76" s="746"/>
      <c r="L76" s="644"/>
      <c r="M76" s="644"/>
      <c r="N76" s="644"/>
      <c r="O76" s="644"/>
      <c r="P76" s="797">
        <f t="shared" si="0"/>
        <v>49.785119999999999</v>
      </c>
      <c r="Q76" s="644"/>
    </row>
    <row r="77" spans="1:17" s="623" customFormat="1" ht="47.25" customHeight="1" x14ac:dyDescent="0.2">
      <c r="A77" s="69" t="s">
        <v>991</v>
      </c>
      <c r="B77" s="70" t="s">
        <v>12</v>
      </c>
      <c r="C77" s="70">
        <v>96534</v>
      </c>
      <c r="D77" s="688" t="s">
        <v>370</v>
      </c>
      <c r="E77" s="743" t="s">
        <v>68</v>
      </c>
      <c r="F77" s="319">
        <f>PLAY.6!C247</f>
        <v>21.64</v>
      </c>
      <c r="G77" s="843">
        <v>74.55</v>
      </c>
      <c r="H77" s="709">
        <f>G77*$M$8+G77</f>
        <v>57.403499999999994</v>
      </c>
      <c r="I77" s="710">
        <f t="shared" si="9"/>
        <v>74.492194141050732</v>
      </c>
      <c r="J77" s="265">
        <f>ROUND(I77*F77,2)</f>
        <v>1612.01</v>
      </c>
      <c r="K77" s="746"/>
      <c r="L77" s="644"/>
      <c r="M77" s="644"/>
      <c r="N77" s="644"/>
      <c r="O77" s="644"/>
      <c r="P77" s="797">
        <f t="shared" si="0"/>
        <v>1242.21174</v>
      </c>
      <c r="Q77" s="644"/>
    </row>
    <row r="78" spans="1:17" s="623" customFormat="1" ht="33.75" customHeight="1" x14ac:dyDescent="0.2">
      <c r="A78" s="69" t="s">
        <v>992</v>
      </c>
      <c r="B78" s="70" t="s">
        <v>12</v>
      </c>
      <c r="C78" s="70" t="s">
        <v>275</v>
      </c>
      <c r="D78" s="688" t="s">
        <v>276</v>
      </c>
      <c r="E78" s="63" t="s">
        <v>56</v>
      </c>
      <c r="F78" s="319">
        <f>PLAY.6!C276</f>
        <v>1.72</v>
      </c>
      <c r="G78" s="843">
        <v>545.9</v>
      </c>
      <c r="H78" s="709">
        <f>G78*$M$8+G78</f>
        <v>420.34299999999996</v>
      </c>
      <c r="I78" s="710">
        <f t="shared" si="9"/>
        <v>545.47671068544059</v>
      </c>
      <c r="J78" s="265">
        <f>ROUND(I78*F78,2)</f>
        <v>938.22</v>
      </c>
      <c r="K78" s="746"/>
      <c r="L78" s="644"/>
      <c r="M78" s="644"/>
      <c r="N78" s="644"/>
      <c r="O78" s="644"/>
      <c r="P78" s="797">
        <f t="shared" si="0"/>
        <v>722.98995999999988</v>
      </c>
      <c r="Q78" s="644"/>
    </row>
    <row r="79" spans="1:17" s="623" customFormat="1" ht="36" customHeight="1" x14ac:dyDescent="0.2">
      <c r="A79" s="69" t="s">
        <v>993</v>
      </c>
      <c r="B79" s="70" t="s">
        <v>12</v>
      </c>
      <c r="C79" s="70" t="s">
        <v>1117</v>
      </c>
      <c r="D79" s="688" t="s">
        <v>1118</v>
      </c>
      <c r="E79" s="63" t="s">
        <v>56</v>
      </c>
      <c r="F79" s="319">
        <f>PLAY.6!C276</f>
        <v>1.72</v>
      </c>
      <c r="G79" s="843">
        <v>232.26</v>
      </c>
      <c r="H79" s="709">
        <f>G79*$M$8+G79</f>
        <v>178.84019999999998</v>
      </c>
      <c r="I79" s="710">
        <f t="shared" si="9"/>
        <v>232.0799062535271</v>
      </c>
      <c r="J79" s="265">
        <f>ROUND(I79*F79,2)</f>
        <v>399.18</v>
      </c>
      <c r="K79" s="746"/>
      <c r="L79" s="644"/>
      <c r="M79" s="644"/>
      <c r="N79" s="644"/>
      <c r="O79" s="644"/>
      <c r="P79" s="797">
        <f t="shared" si="0"/>
        <v>307.60514399999994</v>
      </c>
      <c r="Q79" s="644"/>
    </row>
    <row r="80" spans="1:17" s="739" customFormat="1" ht="15" x14ac:dyDescent="0.25">
      <c r="A80" s="372">
        <v>7</v>
      </c>
      <c r="B80" s="387"/>
      <c r="C80" s="372"/>
      <c r="D80" s="375" t="s">
        <v>485</v>
      </c>
      <c r="E80" s="372"/>
      <c r="F80" s="388"/>
      <c r="G80" s="844"/>
      <c r="H80" s="388"/>
      <c r="I80" s="389"/>
      <c r="J80" s="384">
        <f>SUM(J83:J141)</f>
        <v>230169.58000000005</v>
      </c>
      <c r="K80" s="704">
        <f>J80/$J$189</f>
        <v>0.19133457219183833</v>
      </c>
      <c r="L80" s="705"/>
      <c r="M80" s="706">
        <v>57295.28</v>
      </c>
      <c r="N80" s="705"/>
      <c r="O80" s="705"/>
      <c r="P80" s="797">
        <f t="shared" ref="P80:P143" si="10">H80*F80</f>
        <v>0</v>
      </c>
      <c r="Q80" s="705"/>
    </row>
    <row r="81" spans="1:17" s="739" customFormat="1" ht="21" customHeight="1" x14ac:dyDescent="0.2">
      <c r="A81" s="416" t="s">
        <v>741</v>
      </c>
      <c r="B81" s="414"/>
      <c r="C81" s="747"/>
      <c r="D81" s="748" t="s">
        <v>1096</v>
      </c>
      <c r="E81" s="747"/>
      <c r="F81" s="749"/>
      <c r="G81" s="845"/>
      <c r="H81" s="750"/>
      <c r="I81" s="728"/>
      <c r="J81" s="728"/>
      <c r="K81" s="729"/>
      <c r="L81" s="705"/>
      <c r="M81" s="705"/>
      <c r="N81" s="705"/>
      <c r="O81" s="705"/>
      <c r="P81" s="797">
        <f t="shared" si="10"/>
        <v>0</v>
      </c>
      <c r="Q81" s="705"/>
    </row>
    <row r="82" spans="1:17" s="739" customFormat="1" ht="21" customHeight="1" x14ac:dyDescent="0.2">
      <c r="A82" s="751" t="s">
        <v>742</v>
      </c>
      <c r="B82" s="752"/>
      <c r="C82" s="753"/>
      <c r="D82" s="754" t="s">
        <v>96</v>
      </c>
      <c r="E82" s="753"/>
      <c r="F82" s="755"/>
      <c r="G82" s="845"/>
      <c r="H82" s="756"/>
      <c r="I82" s="757"/>
      <c r="J82" s="757"/>
      <c r="K82" s="758"/>
      <c r="L82" s="705"/>
      <c r="M82" s="705"/>
      <c r="N82" s="705"/>
      <c r="O82" s="705"/>
      <c r="P82" s="797">
        <f t="shared" si="10"/>
        <v>0</v>
      </c>
      <c r="Q82" s="705"/>
    </row>
    <row r="83" spans="1:17" s="739" customFormat="1" ht="21" customHeight="1" x14ac:dyDescent="0.2">
      <c r="A83" s="63" t="s">
        <v>994</v>
      </c>
      <c r="B83" s="70" t="s">
        <v>267</v>
      </c>
      <c r="C83" s="720" t="s">
        <v>765</v>
      </c>
      <c r="D83" s="730" t="s">
        <v>766</v>
      </c>
      <c r="E83" s="63" t="s">
        <v>56</v>
      </c>
      <c r="F83" s="263">
        <f>FONTE.7!C32</f>
        <v>23.77</v>
      </c>
      <c r="G83" s="841">
        <v>51.21</v>
      </c>
      <c r="H83" s="709">
        <f t="shared" ref="H83:H90" si="11">G83*$M$8+G83</f>
        <v>39.431699999999999</v>
      </c>
      <c r="I83" s="710">
        <f t="shared" ref="I83:I146" si="12">H83*$B$7+H83</f>
        <v>51.170291910975301</v>
      </c>
      <c r="J83" s="119">
        <f>ROUND(I83*F83,2)</f>
        <v>1216.32</v>
      </c>
      <c r="K83" s="712"/>
      <c r="L83" s="705"/>
      <c r="M83" s="705"/>
      <c r="N83" s="705"/>
      <c r="O83" s="705"/>
      <c r="P83" s="797">
        <f t="shared" si="10"/>
        <v>937.29150900000002</v>
      </c>
      <c r="Q83" s="705"/>
    </row>
    <row r="84" spans="1:17" s="739" customFormat="1" ht="45.75" customHeight="1" x14ac:dyDescent="0.2">
      <c r="A84" s="63" t="s">
        <v>995</v>
      </c>
      <c r="B84" s="66" t="s">
        <v>12</v>
      </c>
      <c r="C84" s="64" t="s">
        <v>587</v>
      </c>
      <c r="D84" s="65" t="s">
        <v>588</v>
      </c>
      <c r="E84" s="743" t="s">
        <v>68</v>
      </c>
      <c r="F84" s="55">
        <f>FONTE.7!C45</f>
        <v>13.959999999999999</v>
      </c>
      <c r="G84" s="846">
        <v>2.44</v>
      </c>
      <c r="H84" s="709">
        <f t="shared" si="11"/>
        <v>1.8788</v>
      </c>
      <c r="I84" s="710">
        <f t="shared" si="12"/>
        <v>2.43810803090763</v>
      </c>
      <c r="J84" s="533">
        <f>ROUND((I84*F84),2)</f>
        <v>34.04</v>
      </c>
      <c r="K84" s="535"/>
      <c r="L84" s="705"/>
      <c r="M84" s="705"/>
      <c r="N84" s="705"/>
      <c r="O84" s="705"/>
      <c r="P84" s="797">
        <f t="shared" si="10"/>
        <v>26.228047999999998</v>
      </c>
      <c r="Q84" s="705"/>
    </row>
    <row r="85" spans="1:17" s="739" customFormat="1" ht="35.25" customHeight="1" x14ac:dyDescent="0.2">
      <c r="A85" s="63" t="s">
        <v>996</v>
      </c>
      <c r="B85" s="70" t="s">
        <v>12</v>
      </c>
      <c r="C85" s="721">
        <v>95241</v>
      </c>
      <c r="D85" s="67" t="s">
        <v>487</v>
      </c>
      <c r="E85" s="743" t="s">
        <v>68</v>
      </c>
      <c r="F85" s="236">
        <f>FONTE.7!C58</f>
        <v>13.959999999999999</v>
      </c>
      <c r="G85" s="842">
        <v>28.94</v>
      </c>
      <c r="H85" s="709">
        <f t="shared" si="11"/>
        <v>22.283799999999999</v>
      </c>
      <c r="I85" s="710">
        <f t="shared" si="12"/>
        <v>28.917560005929023</v>
      </c>
      <c r="J85" s="105">
        <f>ROUND(I85*F85,2)</f>
        <v>403.69</v>
      </c>
      <c r="K85" s="535"/>
      <c r="L85" s="705"/>
      <c r="M85" s="705"/>
      <c r="N85" s="705"/>
      <c r="O85" s="705"/>
      <c r="P85" s="797">
        <f t="shared" si="10"/>
        <v>311.08184799999998</v>
      </c>
      <c r="Q85" s="705"/>
    </row>
    <row r="86" spans="1:17" s="739" customFormat="1" ht="47.25" customHeight="1" x14ac:dyDescent="0.2">
      <c r="A86" s="63" t="s">
        <v>997</v>
      </c>
      <c r="B86" s="66" t="s">
        <v>12</v>
      </c>
      <c r="C86" s="64" t="s">
        <v>961</v>
      </c>
      <c r="D86" s="65" t="s">
        <v>962</v>
      </c>
      <c r="E86" s="743" t="s">
        <v>68</v>
      </c>
      <c r="F86" s="55">
        <f>FONTE.7!C74</f>
        <v>74.13</v>
      </c>
      <c r="G86" s="846">
        <v>39.78</v>
      </c>
      <c r="H86" s="709">
        <f t="shared" si="11"/>
        <v>30.630600000000001</v>
      </c>
      <c r="I86" s="710">
        <f t="shared" si="12"/>
        <v>39.749154700617019</v>
      </c>
      <c r="J86" s="533">
        <f>ROUND((I86*F86),2)</f>
        <v>2946.6</v>
      </c>
      <c r="K86" s="535"/>
      <c r="L86" s="705"/>
      <c r="M86" s="705"/>
      <c r="N86" s="705"/>
      <c r="O86" s="705"/>
      <c r="P86" s="797">
        <f t="shared" si="10"/>
        <v>2270.6463779999999</v>
      </c>
      <c r="Q86" s="705"/>
    </row>
    <row r="87" spans="1:17" s="739" customFormat="1" ht="49.5" customHeight="1" x14ac:dyDescent="0.2">
      <c r="A87" s="63" t="s">
        <v>998</v>
      </c>
      <c r="B87" s="66" t="s">
        <v>12</v>
      </c>
      <c r="C87" s="64">
        <v>94970</v>
      </c>
      <c r="D87" s="65" t="s">
        <v>488</v>
      </c>
      <c r="E87" s="63" t="s">
        <v>56</v>
      </c>
      <c r="F87" s="55">
        <f>FONTE.7!C90</f>
        <v>5.2500000000000009</v>
      </c>
      <c r="G87" s="847">
        <v>482.75</v>
      </c>
      <c r="H87" s="709">
        <f t="shared" si="11"/>
        <v>371.71749999999997</v>
      </c>
      <c r="I87" s="710">
        <f t="shared" si="12"/>
        <v>482.37567701666325</v>
      </c>
      <c r="J87" s="533">
        <f>ROUND((I87*F87),2)</f>
        <v>2532.4699999999998</v>
      </c>
      <c r="K87" s="535"/>
      <c r="L87" s="705"/>
      <c r="M87" s="705"/>
      <c r="N87" s="705"/>
      <c r="O87" s="705"/>
      <c r="P87" s="797">
        <f t="shared" si="10"/>
        <v>1951.5168750000003</v>
      </c>
      <c r="Q87" s="705"/>
    </row>
    <row r="88" spans="1:17" s="739" customFormat="1" ht="57" x14ac:dyDescent="0.2">
      <c r="A88" s="63" t="s">
        <v>999</v>
      </c>
      <c r="B88" s="66" t="s">
        <v>12</v>
      </c>
      <c r="C88" s="64">
        <v>92777</v>
      </c>
      <c r="D88" s="65" t="s">
        <v>489</v>
      </c>
      <c r="E88" s="70" t="s">
        <v>67</v>
      </c>
      <c r="F88" s="55">
        <f>FONTE.7!C101</f>
        <v>75.300000000000011</v>
      </c>
      <c r="G88" s="842">
        <v>14.62</v>
      </c>
      <c r="H88" s="709">
        <f t="shared" si="11"/>
        <v>11.257399999999999</v>
      </c>
      <c r="I88" s="710">
        <f t="shared" si="12"/>
        <v>14.608663693389159</v>
      </c>
      <c r="J88" s="533">
        <f>ROUND((I88*F88),2)</f>
        <v>1100.03</v>
      </c>
      <c r="K88" s="535"/>
      <c r="L88" s="705"/>
      <c r="M88" s="705"/>
      <c r="N88" s="705"/>
      <c r="O88" s="705"/>
      <c r="P88" s="797">
        <f t="shared" si="10"/>
        <v>847.68222000000003</v>
      </c>
      <c r="Q88" s="705"/>
    </row>
    <row r="89" spans="1:17" s="739" customFormat="1" ht="61.5" customHeight="1" x14ac:dyDescent="0.2">
      <c r="A89" s="63" t="s">
        <v>1000</v>
      </c>
      <c r="B89" s="68" t="s">
        <v>12</v>
      </c>
      <c r="C89" s="742">
        <v>92776</v>
      </c>
      <c r="D89" s="688" t="s">
        <v>490</v>
      </c>
      <c r="E89" s="70" t="s">
        <v>67</v>
      </c>
      <c r="F89" s="176">
        <f>FONTE.7!C112</f>
        <v>309.2</v>
      </c>
      <c r="G89" s="848">
        <v>15.74</v>
      </c>
      <c r="H89" s="709">
        <f t="shared" si="11"/>
        <v>12.1198</v>
      </c>
      <c r="I89" s="710">
        <f t="shared" si="12"/>
        <v>15.727795248559875</v>
      </c>
      <c r="J89" s="760">
        <f>ROUND((I89*F89),2)</f>
        <v>4863.03</v>
      </c>
      <c r="K89" s="718"/>
      <c r="L89" s="705"/>
      <c r="M89" s="705"/>
      <c r="N89" s="705"/>
      <c r="O89" s="705"/>
      <c r="P89" s="797">
        <f t="shared" si="10"/>
        <v>3747.4421599999996</v>
      </c>
      <c r="Q89" s="705"/>
    </row>
    <row r="90" spans="1:17" s="739" customFormat="1" ht="35.25" customHeight="1" x14ac:dyDescent="0.2">
      <c r="A90" s="63" t="s">
        <v>1001</v>
      </c>
      <c r="B90" s="70" t="s">
        <v>12</v>
      </c>
      <c r="C90" s="70" t="s">
        <v>1117</v>
      </c>
      <c r="D90" s="688" t="s">
        <v>1118</v>
      </c>
      <c r="E90" s="63" t="s">
        <v>56</v>
      </c>
      <c r="F90" s="176">
        <f>FONTE.7!C118</f>
        <v>5.2500000000000009</v>
      </c>
      <c r="G90" s="843">
        <v>232.26</v>
      </c>
      <c r="H90" s="709">
        <f t="shared" si="11"/>
        <v>178.84019999999998</v>
      </c>
      <c r="I90" s="710">
        <f t="shared" si="12"/>
        <v>232.0799062535271</v>
      </c>
      <c r="J90" s="760">
        <f>ROUND((I90*F90),2)</f>
        <v>1218.42</v>
      </c>
      <c r="K90" s="718"/>
      <c r="L90" s="705"/>
      <c r="M90" s="705"/>
      <c r="N90" s="705"/>
      <c r="O90" s="705"/>
      <c r="P90" s="797">
        <f t="shared" si="10"/>
        <v>938.91105000000005</v>
      </c>
      <c r="Q90" s="705"/>
    </row>
    <row r="91" spans="1:17" s="739" customFormat="1" ht="21" customHeight="1" x14ac:dyDescent="0.2">
      <c r="A91" s="751" t="s">
        <v>743</v>
      </c>
      <c r="B91" s="761"/>
      <c r="C91" s="762"/>
      <c r="D91" s="754" t="s">
        <v>491</v>
      </c>
      <c r="E91" s="762"/>
      <c r="F91" s="763"/>
      <c r="G91" s="849"/>
      <c r="H91" s="764"/>
      <c r="I91" s="764"/>
      <c r="J91" s="765"/>
      <c r="K91" s="766"/>
      <c r="L91" s="705"/>
      <c r="M91" s="705"/>
      <c r="N91" s="705"/>
      <c r="O91" s="705"/>
      <c r="P91" s="797">
        <f t="shared" si="10"/>
        <v>0</v>
      </c>
      <c r="Q91" s="705"/>
    </row>
    <row r="92" spans="1:17" ht="45.75" customHeight="1" x14ac:dyDescent="0.2">
      <c r="A92" s="63" t="s">
        <v>1002</v>
      </c>
      <c r="B92" s="69" t="s">
        <v>12</v>
      </c>
      <c r="C92" s="64" t="s">
        <v>961</v>
      </c>
      <c r="D92" s="65" t="s">
        <v>1051</v>
      </c>
      <c r="E92" s="743" t="s">
        <v>68</v>
      </c>
      <c r="F92" s="263">
        <f>FONTE.7!C131</f>
        <v>7.7</v>
      </c>
      <c r="G92" s="841">
        <v>39.78</v>
      </c>
      <c r="H92" s="709">
        <f>G92*$M$8+G92</f>
        <v>30.630600000000001</v>
      </c>
      <c r="I92" s="710">
        <f t="shared" si="12"/>
        <v>39.749154700617019</v>
      </c>
      <c r="J92" s="122">
        <f>ROUND(I92*F92,2)</f>
        <v>306.07</v>
      </c>
      <c r="K92" s="535"/>
      <c r="P92" s="797">
        <f t="shared" si="10"/>
        <v>235.85562000000002</v>
      </c>
    </row>
    <row r="93" spans="1:17" ht="50.25" customHeight="1" x14ac:dyDescent="0.2">
      <c r="A93" s="63" t="s">
        <v>1003</v>
      </c>
      <c r="B93" s="66" t="s">
        <v>12</v>
      </c>
      <c r="C93" s="64">
        <v>94970</v>
      </c>
      <c r="D93" s="65" t="s">
        <v>488</v>
      </c>
      <c r="E93" s="63" t="s">
        <v>56</v>
      </c>
      <c r="F93" s="55">
        <f>FONTE.7!C140</f>
        <v>0.4</v>
      </c>
      <c r="G93" s="846">
        <v>482.75</v>
      </c>
      <c r="H93" s="709">
        <f>G93*$M$8+G93</f>
        <v>371.71749999999997</v>
      </c>
      <c r="I93" s="710">
        <f t="shared" si="12"/>
        <v>482.37567701666325</v>
      </c>
      <c r="J93" s="533">
        <f>ROUND((I93*F93),2)</f>
        <v>192.95</v>
      </c>
      <c r="K93" s="535"/>
      <c r="P93" s="797">
        <f t="shared" si="10"/>
        <v>148.68699999999998</v>
      </c>
    </row>
    <row r="94" spans="1:17" ht="60" customHeight="1" x14ac:dyDescent="0.2">
      <c r="A94" s="63" t="s">
        <v>1004</v>
      </c>
      <c r="B94" s="66" t="s">
        <v>12</v>
      </c>
      <c r="C94" s="64">
        <v>92777</v>
      </c>
      <c r="D94" s="65" t="s">
        <v>489</v>
      </c>
      <c r="E94" s="70" t="s">
        <v>67</v>
      </c>
      <c r="F94" s="55">
        <f>FONTE.7!C149</f>
        <v>31.799999999999997</v>
      </c>
      <c r="G94" s="847">
        <v>14.62</v>
      </c>
      <c r="H94" s="709">
        <f>G94*$M$8+G94</f>
        <v>11.257399999999999</v>
      </c>
      <c r="I94" s="710">
        <f t="shared" si="12"/>
        <v>14.608663693389159</v>
      </c>
      <c r="J94" s="533">
        <f>ROUND((I94*F94),2)</f>
        <v>464.56</v>
      </c>
      <c r="K94" s="535"/>
      <c r="P94" s="797">
        <f t="shared" si="10"/>
        <v>357.98531999999994</v>
      </c>
    </row>
    <row r="95" spans="1:17" ht="35.25" customHeight="1" x14ac:dyDescent="0.2">
      <c r="A95" s="63" t="s">
        <v>1005</v>
      </c>
      <c r="B95" s="70" t="s">
        <v>12</v>
      </c>
      <c r="C95" s="70" t="s">
        <v>1117</v>
      </c>
      <c r="D95" s="688" t="s">
        <v>1118</v>
      </c>
      <c r="E95" s="63" t="s">
        <v>56</v>
      </c>
      <c r="F95" s="176">
        <f>FONTE.7!C155</f>
        <v>0.4</v>
      </c>
      <c r="G95" s="843">
        <v>232.26</v>
      </c>
      <c r="H95" s="709">
        <f>G95*$M$8+G95</f>
        <v>178.84019999999998</v>
      </c>
      <c r="I95" s="710">
        <f t="shared" si="12"/>
        <v>232.0799062535271</v>
      </c>
      <c r="J95" s="760">
        <f>ROUND((I95*F95),2)</f>
        <v>92.83</v>
      </c>
      <c r="K95" s="718"/>
      <c r="P95" s="797">
        <f t="shared" si="10"/>
        <v>71.536079999999998</v>
      </c>
    </row>
    <row r="96" spans="1:17" s="739" customFormat="1" ht="21" customHeight="1" x14ac:dyDescent="0.2">
      <c r="A96" s="751" t="s">
        <v>744</v>
      </c>
      <c r="B96" s="752"/>
      <c r="C96" s="753"/>
      <c r="D96" s="754" t="s">
        <v>492</v>
      </c>
      <c r="E96" s="753"/>
      <c r="F96" s="755"/>
      <c r="G96" s="845"/>
      <c r="H96" s="756"/>
      <c r="I96" s="756"/>
      <c r="J96" s="757"/>
      <c r="K96" s="758"/>
      <c r="L96" s="705"/>
      <c r="M96" s="705"/>
      <c r="N96" s="705"/>
      <c r="O96" s="705"/>
      <c r="P96" s="797">
        <f t="shared" si="10"/>
        <v>0</v>
      </c>
      <c r="Q96" s="705"/>
    </row>
    <row r="97" spans="1:17" ht="47.25" customHeight="1" x14ac:dyDescent="0.2">
      <c r="A97" s="63" t="s">
        <v>1006</v>
      </c>
      <c r="B97" s="69" t="s">
        <v>12</v>
      </c>
      <c r="C97" s="64" t="s">
        <v>961</v>
      </c>
      <c r="D97" s="65" t="s">
        <v>962</v>
      </c>
      <c r="E97" s="63" t="s">
        <v>68</v>
      </c>
      <c r="F97" s="263">
        <f>FONTE.7!C164</f>
        <v>1.1499999999999999</v>
      </c>
      <c r="G97" s="841">
        <v>39.78</v>
      </c>
      <c r="H97" s="709">
        <f>G97*$M$8+G97</f>
        <v>30.630600000000001</v>
      </c>
      <c r="I97" s="710">
        <f t="shared" si="12"/>
        <v>39.749154700617019</v>
      </c>
      <c r="J97" s="122">
        <f>ROUND(I97*F97,2)</f>
        <v>45.71</v>
      </c>
      <c r="K97" s="535"/>
      <c r="P97" s="797">
        <f t="shared" si="10"/>
        <v>35.225189999999998</v>
      </c>
    </row>
    <row r="98" spans="1:17" ht="35.25" customHeight="1" x14ac:dyDescent="0.2">
      <c r="A98" s="63" t="s">
        <v>1007</v>
      </c>
      <c r="B98" s="66" t="s">
        <v>12</v>
      </c>
      <c r="C98" s="64" t="s">
        <v>275</v>
      </c>
      <c r="D98" s="65" t="s">
        <v>276</v>
      </c>
      <c r="E98" s="70" t="s">
        <v>56</v>
      </c>
      <c r="F98" s="55">
        <f>FONTE.7!C172</f>
        <v>0.19500000000000001</v>
      </c>
      <c r="G98" s="846">
        <v>545.9</v>
      </c>
      <c r="H98" s="709">
        <f>G98*$M$8+G98</f>
        <v>420.34299999999996</v>
      </c>
      <c r="I98" s="710">
        <f t="shared" si="12"/>
        <v>545.47671068544059</v>
      </c>
      <c r="J98" s="533">
        <f>ROUND((I98*F98),2)</f>
        <v>106.37</v>
      </c>
      <c r="K98" s="535"/>
      <c r="P98" s="797">
        <f t="shared" si="10"/>
        <v>81.966884999999991</v>
      </c>
    </row>
    <row r="99" spans="1:17" s="739" customFormat="1" ht="15" x14ac:dyDescent="0.2">
      <c r="A99" s="751" t="s">
        <v>745</v>
      </c>
      <c r="B99" s="752"/>
      <c r="C99" s="753"/>
      <c r="D99" s="754" t="s">
        <v>733</v>
      </c>
      <c r="E99" s="753"/>
      <c r="F99" s="755"/>
      <c r="G99" s="845"/>
      <c r="H99" s="756"/>
      <c r="I99" s="756"/>
      <c r="J99" s="757"/>
      <c r="K99" s="758"/>
      <c r="L99" s="705"/>
      <c r="M99" s="705"/>
      <c r="N99" s="705"/>
      <c r="O99" s="705"/>
      <c r="P99" s="797">
        <f t="shared" si="10"/>
        <v>0</v>
      </c>
      <c r="Q99" s="705"/>
    </row>
    <row r="100" spans="1:17" ht="33.75" customHeight="1" x14ac:dyDescent="0.2">
      <c r="A100" s="63" t="s">
        <v>1008</v>
      </c>
      <c r="B100" s="1073" t="str">
        <f>COMPOSIÇÕES!A149</f>
        <v>COMPOSIÇÃO 16</v>
      </c>
      <c r="C100" s="1074"/>
      <c r="D100" s="126" t="str">
        <f>COMPOSIÇÕES!A150</f>
        <v>TAMPA EM ESTRUTURA DE AÇO (CANTONEIRA 2"X2"X1/4" E CHAPA GSG 1,95MM) - PARA CASA DE BOMBA</v>
      </c>
      <c r="E100" s="743" t="s">
        <v>124</v>
      </c>
      <c r="F100" s="55">
        <f>FONTE.7!C179</f>
        <v>2</v>
      </c>
      <c r="G100" s="850">
        <f>COMPOSIÇÕES!G158</f>
        <v>0</v>
      </c>
      <c r="H100" s="125">
        <f>COMPOSIÇÕES!H158</f>
        <v>707.59</v>
      </c>
      <c r="I100" s="710">
        <f t="shared" si="12"/>
        <v>918.23550223010966</v>
      </c>
      <c r="J100" s="533">
        <f>ROUND((I100*F100),2)</f>
        <v>1836.47</v>
      </c>
      <c r="K100" s="535"/>
      <c r="P100" s="797">
        <f t="shared" si="10"/>
        <v>1415.18</v>
      </c>
    </row>
    <row r="101" spans="1:17" ht="50.25" customHeight="1" x14ac:dyDescent="0.2">
      <c r="A101" s="63" t="s">
        <v>1009</v>
      </c>
      <c r="B101" s="1073" t="str">
        <f>COMPOSIÇÕES!A160</f>
        <v>COMPOSIÇÃO 17</v>
      </c>
      <c r="C101" s="1074"/>
      <c r="D101" s="126" t="str">
        <f>COMPOSIÇÕES!A161</f>
        <v>TAMPA EM ESTRUTURA DE AÇO (CANTONEIRA 2"X2"X1/4" E CHAPA GSG 1,95MM) COM APOIO EM CONCRETO - PARA CASA DE FILTRO E CISTERNA</v>
      </c>
      <c r="E101" s="743" t="s">
        <v>124</v>
      </c>
      <c r="F101" s="176">
        <f>FONTE.7!C183</f>
        <v>2</v>
      </c>
      <c r="G101" s="850">
        <f>COMPOSIÇÕES!G169</f>
        <v>0</v>
      </c>
      <c r="H101" s="128">
        <f>COMPOSIÇÕES!H169</f>
        <v>482.84</v>
      </c>
      <c r="I101" s="710">
        <f t="shared" si="12"/>
        <v>626.57871068950396</v>
      </c>
      <c r="J101" s="760">
        <f>ROUND((I101*F101),2)</f>
        <v>1253.1600000000001</v>
      </c>
      <c r="K101" s="718"/>
      <c r="P101" s="797">
        <f t="shared" si="10"/>
        <v>965.68</v>
      </c>
    </row>
    <row r="102" spans="1:17" ht="33" customHeight="1" x14ac:dyDescent="0.2">
      <c r="A102" s="63" t="s">
        <v>1010</v>
      </c>
      <c r="B102" s="68" t="s">
        <v>12</v>
      </c>
      <c r="C102" s="713" t="s">
        <v>589</v>
      </c>
      <c r="D102" s="767" t="s">
        <v>590</v>
      </c>
      <c r="E102" s="743" t="s">
        <v>124</v>
      </c>
      <c r="F102" s="176">
        <f>FONTE.7!C187</f>
        <v>12</v>
      </c>
      <c r="G102" s="850">
        <v>63.76</v>
      </c>
      <c r="H102" s="709">
        <f>G102*$M$8+G102</f>
        <v>49.095199999999998</v>
      </c>
      <c r="I102" s="710">
        <f t="shared" si="12"/>
        <v>63.710560676504301</v>
      </c>
      <c r="J102" s="760">
        <f>ROUND((I102*F102),2)</f>
        <v>764.53</v>
      </c>
      <c r="K102" s="718"/>
      <c r="P102" s="797">
        <f t="shared" si="10"/>
        <v>589.14239999999995</v>
      </c>
    </row>
    <row r="103" spans="1:17" s="739" customFormat="1" ht="21" customHeight="1" x14ac:dyDescent="0.2">
      <c r="A103" s="416" t="s">
        <v>746</v>
      </c>
      <c r="B103" s="414"/>
      <c r="C103" s="747"/>
      <c r="D103" s="748" t="s">
        <v>149</v>
      </c>
      <c r="E103" s="747"/>
      <c r="F103" s="749"/>
      <c r="G103" s="845"/>
      <c r="H103" s="750"/>
      <c r="I103" s="750"/>
      <c r="J103" s="728"/>
      <c r="K103" s="729"/>
      <c r="L103" s="705"/>
      <c r="M103" s="705"/>
      <c r="N103" s="705"/>
      <c r="O103" s="705"/>
      <c r="P103" s="797">
        <f t="shared" si="10"/>
        <v>0</v>
      </c>
      <c r="Q103" s="705"/>
    </row>
    <row r="104" spans="1:17" ht="76.5" customHeight="1" x14ac:dyDescent="0.2">
      <c r="A104" s="768" t="s">
        <v>747</v>
      </c>
      <c r="B104" s="1073" t="str">
        <f>COMPOSIÇÕES!A171</f>
        <v>COMPOSIÇÃO 18</v>
      </c>
      <c r="C104" s="1074"/>
      <c r="D104" s="126" t="str">
        <f>COMPOSIÇÕES!A172</f>
        <v>CALHA DE CONCRETO, 40X20 CM, ESPESSURA 8 CM PREPARADA EM BETONEIRA COM CIMENTADO LISO EXECUTADO COM ARGAMASSA TRACO 1:4 (CIMENTO E AREIA MEDIA NAO PENEIRADA), INCLUINDO GRELHA FIXA EM FERRO GALV PREPARO MANUAL</v>
      </c>
      <c r="E104" s="110" t="s">
        <v>52</v>
      </c>
      <c r="F104" s="176">
        <f>FONTE.7!C196</f>
        <v>105.45000000000002</v>
      </c>
      <c r="G104" s="850">
        <f>COMPOSIÇÕES!G187</f>
        <v>0</v>
      </c>
      <c r="H104" s="125">
        <f>COMPOSIÇÕES!H187</f>
        <v>572.66</v>
      </c>
      <c r="I104" s="710">
        <f t="shared" si="12"/>
        <v>743.13761176259493</v>
      </c>
      <c r="J104" s="760">
        <f>ROUND((I104*F104),2)</f>
        <v>78363.86</v>
      </c>
      <c r="K104" s="718"/>
      <c r="P104" s="797">
        <f t="shared" si="10"/>
        <v>60386.997000000003</v>
      </c>
    </row>
    <row r="105" spans="1:17" s="739" customFormat="1" ht="21" customHeight="1" x14ac:dyDescent="0.2">
      <c r="A105" s="416" t="s">
        <v>748</v>
      </c>
      <c r="B105" s="414"/>
      <c r="C105" s="747"/>
      <c r="D105" s="748" t="s">
        <v>509</v>
      </c>
      <c r="E105" s="747"/>
      <c r="F105" s="749"/>
      <c r="G105" s="845"/>
      <c r="H105" s="750"/>
      <c r="I105" s="750"/>
      <c r="J105" s="728"/>
      <c r="K105" s="729"/>
      <c r="L105" s="705"/>
      <c r="M105" s="705"/>
      <c r="N105" s="705"/>
      <c r="O105" s="705"/>
      <c r="P105" s="797">
        <f t="shared" si="10"/>
        <v>0</v>
      </c>
      <c r="Q105" s="705"/>
    </row>
    <row r="106" spans="1:17" s="739" customFormat="1" ht="21" customHeight="1" x14ac:dyDescent="0.2">
      <c r="A106" s="751" t="s">
        <v>749</v>
      </c>
      <c r="B106" s="752"/>
      <c r="C106" s="753"/>
      <c r="D106" s="754" t="s">
        <v>586</v>
      </c>
      <c r="E106" s="753"/>
      <c r="F106" s="755"/>
      <c r="G106" s="845"/>
      <c r="H106" s="756"/>
      <c r="I106" s="756"/>
      <c r="J106" s="757"/>
      <c r="K106" s="758"/>
      <c r="L106" s="705"/>
      <c r="M106" s="705"/>
      <c r="N106" s="705"/>
      <c r="O106" s="705"/>
      <c r="P106" s="797">
        <f t="shared" si="10"/>
        <v>0</v>
      </c>
      <c r="Q106" s="705"/>
    </row>
    <row r="107" spans="1:17" s="739" customFormat="1" ht="28.5" x14ac:dyDescent="0.2">
      <c r="A107" s="63" t="s">
        <v>1011</v>
      </c>
      <c r="B107" s="66" t="s">
        <v>12</v>
      </c>
      <c r="C107" s="769">
        <v>89446</v>
      </c>
      <c r="D107" s="65" t="s">
        <v>1056</v>
      </c>
      <c r="E107" s="70" t="s">
        <v>52</v>
      </c>
      <c r="F107" s="169">
        <f>FONTE.7!C202</f>
        <v>24.15</v>
      </c>
      <c r="G107" s="846">
        <v>5.79</v>
      </c>
      <c r="H107" s="709">
        <f t="shared" ref="H107:H119" si="13">G107*$M$8+G107</f>
        <v>4.4582999999999995</v>
      </c>
      <c r="I107" s="710">
        <f t="shared" si="12"/>
        <v>5.7855104503914658</v>
      </c>
      <c r="J107" s="533">
        <f>ROUND((I107*F107),2)</f>
        <v>139.72</v>
      </c>
      <c r="K107" s="535"/>
      <c r="L107" s="705"/>
      <c r="M107" s="705"/>
      <c r="N107" s="705"/>
      <c r="O107" s="705"/>
      <c r="P107" s="797">
        <f t="shared" si="10"/>
        <v>107.66794499999997</v>
      </c>
      <c r="Q107" s="705"/>
    </row>
    <row r="108" spans="1:17" s="739" customFormat="1" ht="28.5" x14ac:dyDescent="0.2">
      <c r="A108" s="63" t="s">
        <v>1012</v>
      </c>
      <c r="B108" s="66" t="s">
        <v>12</v>
      </c>
      <c r="C108" s="769">
        <v>89447</v>
      </c>
      <c r="D108" s="65" t="s">
        <v>510</v>
      </c>
      <c r="E108" s="70" t="s">
        <v>52</v>
      </c>
      <c r="F108" s="169">
        <f>FONTE.7!C206</f>
        <v>26.25</v>
      </c>
      <c r="G108" s="846">
        <v>12.41</v>
      </c>
      <c r="H108" s="709">
        <f t="shared" si="13"/>
        <v>9.5556999999999999</v>
      </c>
      <c r="I108" s="710">
        <f t="shared" si="12"/>
        <v>12.400377321132659</v>
      </c>
      <c r="J108" s="533">
        <f t="shared" ref="J108:J120" si="14">ROUND((I108*F108),2)</f>
        <v>325.51</v>
      </c>
      <c r="K108" s="535"/>
      <c r="L108" s="705"/>
      <c r="M108" s="705"/>
      <c r="N108" s="705"/>
      <c r="O108" s="705"/>
      <c r="P108" s="797">
        <f t="shared" si="10"/>
        <v>250.83712499999999</v>
      </c>
      <c r="Q108" s="705"/>
    </row>
    <row r="109" spans="1:17" s="739" customFormat="1" ht="28.5" x14ac:dyDescent="0.2">
      <c r="A109" s="63" t="s">
        <v>1081</v>
      </c>
      <c r="B109" s="70" t="s">
        <v>12</v>
      </c>
      <c r="C109" s="769">
        <v>89448</v>
      </c>
      <c r="D109" s="67" t="s">
        <v>511</v>
      </c>
      <c r="E109" s="66" t="s">
        <v>52</v>
      </c>
      <c r="F109" s="170">
        <f>FONTE.7!C210</f>
        <v>34</v>
      </c>
      <c r="G109" s="842">
        <v>17.89</v>
      </c>
      <c r="H109" s="709">
        <f t="shared" si="13"/>
        <v>13.775300000000001</v>
      </c>
      <c r="I109" s="710">
        <f t="shared" si="12"/>
        <v>17.876128144646518</v>
      </c>
      <c r="J109" s="533">
        <f t="shared" si="14"/>
        <v>607.79</v>
      </c>
      <c r="K109" s="535"/>
      <c r="L109" s="705"/>
      <c r="M109" s="705"/>
      <c r="N109" s="705"/>
      <c r="O109" s="705"/>
      <c r="P109" s="797">
        <f t="shared" si="10"/>
        <v>468.36020000000008</v>
      </c>
      <c r="Q109" s="705"/>
    </row>
    <row r="110" spans="1:17" s="739" customFormat="1" ht="28.5" x14ac:dyDescent="0.2">
      <c r="A110" s="63" t="s">
        <v>1082</v>
      </c>
      <c r="B110" s="66" t="s">
        <v>12</v>
      </c>
      <c r="C110" s="769">
        <v>89451</v>
      </c>
      <c r="D110" s="65" t="s">
        <v>512</v>
      </c>
      <c r="E110" s="70" t="s">
        <v>52</v>
      </c>
      <c r="F110" s="169">
        <f>FONTE.7!C214</f>
        <v>51.6</v>
      </c>
      <c r="G110" s="846">
        <v>56.61</v>
      </c>
      <c r="H110" s="709">
        <f t="shared" si="13"/>
        <v>43.589700000000001</v>
      </c>
      <c r="I110" s="710">
        <f t="shared" si="12"/>
        <v>56.566104766262683</v>
      </c>
      <c r="J110" s="533">
        <f t="shared" si="14"/>
        <v>2918.81</v>
      </c>
      <c r="K110" s="535"/>
      <c r="L110" s="705"/>
      <c r="M110" s="705"/>
      <c r="N110" s="705"/>
      <c r="O110" s="705"/>
      <c r="P110" s="797">
        <f t="shared" si="10"/>
        <v>2249.2285200000001</v>
      </c>
      <c r="Q110" s="705"/>
    </row>
    <row r="111" spans="1:17" s="739" customFormat="1" ht="21.75" customHeight="1" x14ac:dyDescent="0.2">
      <c r="A111" s="63" t="s">
        <v>1083</v>
      </c>
      <c r="B111" s="66" t="s">
        <v>267</v>
      </c>
      <c r="C111" s="769">
        <v>180218</v>
      </c>
      <c r="D111" s="65" t="s">
        <v>1057</v>
      </c>
      <c r="E111" s="70" t="s">
        <v>124</v>
      </c>
      <c r="F111" s="169">
        <f>FONTE.7!C218</f>
        <v>3</v>
      </c>
      <c r="G111" s="842">
        <v>12.7</v>
      </c>
      <c r="H111" s="709">
        <f t="shared" si="13"/>
        <v>9.7789999999999999</v>
      </c>
      <c r="I111" s="710">
        <f t="shared" si="12"/>
        <v>12.690152455953648</v>
      </c>
      <c r="J111" s="533">
        <f t="shared" si="14"/>
        <v>38.07</v>
      </c>
      <c r="K111" s="535"/>
      <c r="L111" s="705"/>
      <c r="M111" s="705"/>
      <c r="N111" s="705"/>
      <c r="O111" s="705"/>
      <c r="P111" s="797">
        <f t="shared" si="10"/>
        <v>29.337</v>
      </c>
      <c r="Q111" s="705"/>
    </row>
    <row r="112" spans="1:17" s="739" customFormat="1" ht="42.75" x14ac:dyDescent="0.2">
      <c r="A112" s="63" t="s">
        <v>1084</v>
      </c>
      <c r="B112" s="68" t="s">
        <v>12</v>
      </c>
      <c r="C112" s="769">
        <v>89500</v>
      </c>
      <c r="D112" s="688" t="s">
        <v>1058</v>
      </c>
      <c r="E112" s="110" t="s">
        <v>124</v>
      </c>
      <c r="F112" s="171">
        <f>FONTE.7!C222</f>
        <v>4</v>
      </c>
      <c r="G112" s="848">
        <v>13.46</v>
      </c>
      <c r="H112" s="709">
        <f t="shared" si="13"/>
        <v>10.3642</v>
      </c>
      <c r="I112" s="710">
        <f t="shared" si="12"/>
        <v>13.449563154105206</v>
      </c>
      <c r="J112" s="533">
        <f t="shared" si="14"/>
        <v>53.8</v>
      </c>
      <c r="K112" s="718"/>
      <c r="L112" s="705"/>
      <c r="M112" s="705"/>
      <c r="N112" s="705"/>
      <c r="O112" s="705"/>
      <c r="P112" s="797">
        <f t="shared" si="10"/>
        <v>41.456800000000001</v>
      </c>
      <c r="Q112" s="705"/>
    </row>
    <row r="113" spans="1:17" s="739" customFormat="1" ht="42.75" x14ac:dyDescent="0.2">
      <c r="A113" s="63" t="s">
        <v>1085</v>
      </c>
      <c r="B113" s="68" t="s">
        <v>12</v>
      </c>
      <c r="C113" s="769">
        <v>89489</v>
      </c>
      <c r="D113" s="688" t="s">
        <v>1059</v>
      </c>
      <c r="E113" s="110" t="s">
        <v>124</v>
      </c>
      <c r="F113" s="171">
        <f>FONTE.7!C226</f>
        <v>1</v>
      </c>
      <c r="G113" s="848">
        <v>7.31</v>
      </c>
      <c r="H113" s="709">
        <f t="shared" si="13"/>
        <v>5.6286999999999994</v>
      </c>
      <c r="I113" s="710">
        <f t="shared" si="12"/>
        <v>7.3043318466945797</v>
      </c>
      <c r="J113" s="533">
        <f t="shared" si="14"/>
        <v>7.3</v>
      </c>
      <c r="K113" s="718"/>
      <c r="L113" s="705"/>
      <c r="M113" s="705"/>
      <c r="N113" s="705"/>
      <c r="O113" s="705"/>
      <c r="P113" s="797">
        <f t="shared" si="10"/>
        <v>5.6286999999999994</v>
      </c>
      <c r="Q113" s="705"/>
    </row>
    <row r="114" spans="1:17" s="739" customFormat="1" ht="42.75" x14ac:dyDescent="0.2">
      <c r="A114" s="63" t="s">
        <v>1086</v>
      </c>
      <c r="B114" s="66" t="s">
        <v>12</v>
      </c>
      <c r="C114" s="769">
        <v>89366</v>
      </c>
      <c r="D114" s="65" t="s">
        <v>1060</v>
      </c>
      <c r="E114" s="70" t="s">
        <v>124</v>
      </c>
      <c r="F114" s="169">
        <f>FONTE.7!C230</f>
        <v>12</v>
      </c>
      <c r="G114" s="846">
        <v>16.260000000000002</v>
      </c>
      <c r="H114" s="709">
        <f t="shared" si="13"/>
        <v>12.520200000000001</v>
      </c>
      <c r="I114" s="710">
        <f t="shared" si="12"/>
        <v>16.247392042031993</v>
      </c>
      <c r="J114" s="533">
        <f t="shared" si="14"/>
        <v>194.97</v>
      </c>
      <c r="K114" s="535"/>
      <c r="L114" s="705"/>
      <c r="M114" s="705"/>
      <c r="N114" s="705"/>
      <c r="O114" s="705"/>
      <c r="P114" s="797">
        <f t="shared" si="10"/>
        <v>150.2424</v>
      </c>
      <c r="Q114" s="705"/>
    </row>
    <row r="115" spans="1:17" s="739" customFormat="1" ht="42.75" x14ac:dyDescent="0.2">
      <c r="A115" s="63" t="s">
        <v>1087</v>
      </c>
      <c r="B115" s="70" t="s">
        <v>12</v>
      </c>
      <c r="C115" s="769">
        <v>89622</v>
      </c>
      <c r="D115" s="67" t="s">
        <v>1061</v>
      </c>
      <c r="E115" s="66" t="s">
        <v>124</v>
      </c>
      <c r="F115" s="170">
        <f>FONTE.7!C234</f>
        <v>4</v>
      </c>
      <c r="G115" s="842">
        <v>13.84</v>
      </c>
      <c r="H115" s="709">
        <f t="shared" si="13"/>
        <v>10.6568</v>
      </c>
      <c r="I115" s="710">
        <f t="shared" si="12"/>
        <v>13.829268503180984</v>
      </c>
      <c r="J115" s="533">
        <f t="shared" si="14"/>
        <v>55.32</v>
      </c>
      <c r="K115" s="535"/>
      <c r="L115" s="705"/>
      <c r="M115" s="705"/>
      <c r="N115" s="705"/>
      <c r="O115" s="705"/>
      <c r="P115" s="797">
        <f t="shared" si="10"/>
        <v>42.627200000000002</v>
      </c>
      <c r="Q115" s="705"/>
    </row>
    <row r="116" spans="1:17" s="739" customFormat="1" ht="42.75" x14ac:dyDescent="0.2">
      <c r="A116" s="63" t="s">
        <v>1088</v>
      </c>
      <c r="B116" s="66" t="s">
        <v>12</v>
      </c>
      <c r="C116" s="769">
        <v>89624</v>
      </c>
      <c r="D116" s="65" t="s">
        <v>1062</v>
      </c>
      <c r="E116" s="70" t="s">
        <v>124</v>
      </c>
      <c r="F116" s="169">
        <f>FONTE.7!C238</f>
        <v>4</v>
      </c>
      <c r="G116" s="846">
        <v>20.34</v>
      </c>
      <c r="H116" s="709">
        <f t="shared" si="13"/>
        <v>15.661799999999999</v>
      </c>
      <c r="I116" s="710">
        <f t="shared" si="12"/>
        <v>20.324228421582458</v>
      </c>
      <c r="J116" s="533">
        <f t="shared" si="14"/>
        <v>81.3</v>
      </c>
      <c r="K116" s="535"/>
      <c r="L116" s="705"/>
      <c r="M116" s="705"/>
      <c r="N116" s="705"/>
      <c r="O116" s="705"/>
      <c r="P116" s="797">
        <f t="shared" si="10"/>
        <v>62.647199999999998</v>
      </c>
      <c r="Q116" s="705"/>
    </row>
    <row r="117" spans="1:17" s="739" customFormat="1" ht="42.75" x14ac:dyDescent="0.2">
      <c r="A117" s="63" t="s">
        <v>1089</v>
      </c>
      <c r="B117" s="70" t="s">
        <v>12</v>
      </c>
      <c r="C117" s="769">
        <v>90375</v>
      </c>
      <c r="D117" s="67" t="s">
        <v>1063</v>
      </c>
      <c r="E117" s="66" t="s">
        <v>124</v>
      </c>
      <c r="F117" s="170">
        <f>FONTE.7!C242</f>
        <v>2</v>
      </c>
      <c r="G117" s="842">
        <v>8.4600000000000009</v>
      </c>
      <c r="H117" s="709">
        <f t="shared" si="13"/>
        <v>6.5142000000000007</v>
      </c>
      <c r="I117" s="710">
        <f t="shared" si="12"/>
        <v>8.4534401399502261</v>
      </c>
      <c r="J117" s="533">
        <f t="shared" si="14"/>
        <v>16.91</v>
      </c>
      <c r="K117" s="535"/>
      <c r="L117" s="705"/>
      <c r="M117" s="705"/>
      <c r="N117" s="705"/>
      <c r="O117" s="705"/>
      <c r="P117" s="797">
        <f t="shared" si="10"/>
        <v>13.028400000000001</v>
      </c>
      <c r="Q117" s="705"/>
    </row>
    <row r="118" spans="1:17" s="739" customFormat="1" ht="19.5" customHeight="1" x14ac:dyDescent="0.2">
      <c r="A118" s="63" t="s">
        <v>1090</v>
      </c>
      <c r="B118" s="66" t="s">
        <v>267</v>
      </c>
      <c r="C118" s="769">
        <v>180230</v>
      </c>
      <c r="D118" s="65" t="s">
        <v>1064</v>
      </c>
      <c r="E118" s="70" t="s">
        <v>124</v>
      </c>
      <c r="F118" s="169">
        <f>FONTE.7!C246</f>
        <v>3</v>
      </c>
      <c r="G118" s="846">
        <v>6.05</v>
      </c>
      <c r="H118" s="709">
        <f t="shared" si="13"/>
        <v>4.6585000000000001</v>
      </c>
      <c r="I118" s="710">
        <f t="shared" si="12"/>
        <v>6.0453088471275258</v>
      </c>
      <c r="J118" s="533">
        <f t="shared" si="14"/>
        <v>18.14</v>
      </c>
      <c r="K118" s="535"/>
      <c r="L118" s="705"/>
      <c r="M118" s="705"/>
      <c r="N118" s="705"/>
      <c r="O118" s="705"/>
      <c r="P118" s="797">
        <f t="shared" si="10"/>
        <v>13.9755</v>
      </c>
      <c r="Q118" s="705"/>
    </row>
    <row r="119" spans="1:17" s="739" customFormat="1" ht="42.75" x14ac:dyDescent="0.2">
      <c r="A119" s="63" t="s">
        <v>1091</v>
      </c>
      <c r="B119" s="68" t="s">
        <v>12</v>
      </c>
      <c r="C119" s="769">
        <v>97895</v>
      </c>
      <c r="D119" s="688" t="s">
        <v>1065</v>
      </c>
      <c r="E119" s="63" t="s">
        <v>124</v>
      </c>
      <c r="F119" s="171">
        <f>FONTE.7!C250</f>
        <v>2</v>
      </c>
      <c r="G119" s="848">
        <v>163.69999999999999</v>
      </c>
      <c r="H119" s="709">
        <f t="shared" si="13"/>
        <v>126.04899999999999</v>
      </c>
      <c r="I119" s="710">
        <f t="shared" si="12"/>
        <v>163.57306748343402</v>
      </c>
      <c r="J119" s="533">
        <f t="shared" si="14"/>
        <v>327.14999999999998</v>
      </c>
      <c r="K119" s="718"/>
      <c r="L119" s="705"/>
      <c r="M119" s="705"/>
      <c r="N119" s="705"/>
      <c r="O119" s="705"/>
      <c r="P119" s="797">
        <f t="shared" si="10"/>
        <v>252.09799999999998</v>
      </c>
      <c r="Q119" s="705"/>
    </row>
    <row r="120" spans="1:17" s="739" customFormat="1" ht="59.25" customHeight="1" x14ac:dyDescent="0.2">
      <c r="A120" s="63" t="s">
        <v>1092</v>
      </c>
      <c r="B120" s="1085" t="str">
        <f>COMPOSIÇÕES!A212</f>
        <v>COMPOSIÇÃO 20</v>
      </c>
      <c r="C120" s="1086"/>
      <c r="D120" s="745" t="str">
        <f>COMPOSIÇÕES!A213</f>
        <v xml:space="preserve">FORNECIMENTO E INTALAÇÃO DE MOTOBOMBA AUTOESCORVANTE MOTOR ELETRICO TRIFASICO 7,4HP BOCA DIAMETRO DE SUCCAO X RECLAQUE: 2"X2", HM/ Q = 10 M / 73,5 M3/H A 28 M / 8,2 M3 /H  </v>
      </c>
      <c r="E120" s="63" t="s">
        <v>124</v>
      </c>
      <c r="F120" s="169">
        <f>FONTE.7!C254</f>
        <v>2</v>
      </c>
      <c r="G120" s="851">
        <f>COMPOSIÇÕES!G219</f>
        <v>0</v>
      </c>
      <c r="H120" s="602">
        <f>COMPOSIÇÕES!H219</f>
        <v>6793.63</v>
      </c>
      <c r="I120" s="710">
        <f t="shared" si="12"/>
        <v>8816.0548552347263</v>
      </c>
      <c r="J120" s="533">
        <f t="shared" si="14"/>
        <v>17632.11</v>
      </c>
      <c r="K120" s="535"/>
      <c r="L120" s="705"/>
      <c r="M120" s="705"/>
      <c r="N120" s="705"/>
      <c r="O120" s="705"/>
      <c r="P120" s="797">
        <f t="shared" si="10"/>
        <v>13587.26</v>
      </c>
      <c r="Q120" s="705"/>
    </row>
    <row r="121" spans="1:17" s="739" customFormat="1" ht="26.25" customHeight="1" x14ac:dyDescent="0.2">
      <c r="A121" s="63" t="s">
        <v>1093</v>
      </c>
      <c r="B121" s="1078" t="str">
        <f>COMPOSIÇÕES!A230</f>
        <v>COMPOSIÇÃO 22</v>
      </c>
      <c r="C121" s="1079"/>
      <c r="D121" s="745" t="str">
        <f>COMPOSIÇÕES!A231</f>
        <v>FORNECIMENTO E INSTALACAO DE FILTRO FM-36 5,0 m³h</v>
      </c>
      <c r="E121" s="743" t="s">
        <v>124</v>
      </c>
      <c r="F121" s="169">
        <f>FONTE.7!C258</f>
        <v>1</v>
      </c>
      <c r="G121" s="846">
        <f>COMPOSIÇÕES!G236</f>
        <v>0</v>
      </c>
      <c r="H121" s="759">
        <f>COMPOSIÇÕES!H236</f>
        <v>1915.6</v>
      </c>
      <c r="I121" s="710">
        <f t="shared" si="12"/>
        <v>2485.8631807572151</v>
      </c>
      <c r="J121" s="533">
        <f t="shared" ref="J121" si="15">ROUND((I121*F121),2)</f>
        <v>2485.86</v>
      </c>
      <c r="K121" s="535"/>
      <c r="L121" s="705"/>
      <c r="M121" s="705"/>
      <c r="N121" s="705"/>
      <c r="O121" s="705"/>
      <c r="P121" s="797">
        <f t="shared" si="10"/>
        <v>1915.6</v>
      </c>
      <c r="Q121" s="705"/>
    </row>
    <row r="122" spans="1:17" s="739" customFormat="1" ht="30" customHeight="1" x14ac:dyDescent="0.2">
      <c r="A122" s="63" t="s">
        <v>1094</v>
      </c>
      <c r="B122" s="1073" t="str">
        <f>COMPOSIÇÕES!A238</f>
        <v>COMPOSIÇÃO 23</v>
      </c>
      <c r="C122" s="1074"/>
      <c r="D122" s="67" t="str">
        <f>COMPOSIÇÕES!A239</f>
        <v>FORNECIMENTO E INSTALACAO DE BICOS PARA FONTE TIPO COROA 1", INCLUSO REFLETOR ANEL LUZ RGB 9W</v>
      </c>
      <c r="E122" s="743" t="s">
        <v>124</v>
      </c>
      <c r="F122" s="170">
        <f>FONTE.7!C263</f>
        <v>12</v>
      </c>
      <c r="G122" s="842">
        <f>COMPOSIÇÕES!G245</f>
        <v>0</v>
      </c>
      <c r="H122" s="128">
        <f>COMPOSIÇÕES!H245</f>
        <v>1548.31</v>
      </c>
      <c r="I122" s="710">
        <f t="shared" si="12"/>
        <v>2009.2330452068302</v>
      </c>
      <c r="J122" s="105">
        <f>ROUND(I122*F122,2)</f>
        <v>24110.799999999999</v>
      </c>
      <c r="K122" s="535"/>
      <c r="L122" s="705"/>
      <c r="M122" s="705"/>
      <c r="N122" s="705"/>
      <c r="O122" s="705"/>
      <c r="P122" s="797">
        <f t="shared" si="10"/>
        <v>18579.72</v>
      </c>
      <c r="Q122" s="705"/>
    </row>
    <row r="123" spans="1:17" s="739" customFormat="1" ht="42.75" x14ac:dyDescent="0.2">
      <c r="A123" s="63" t="s">
        <v>1095</v>
      </c>
      <c r="B123" s="1073" t="str">
        <f>COMPOSIÇÕES!A247</f>
        <v>COMPOSIÇÃO 24</v>
      </c>
      <c r="C123" s="1074"/>
      <c r="D123" s="67" t="str">
        <f>COMPOSIÇÕES!A248</f>
        <v>CAIXA ENTERRADA HIDRÁULICA PARA BICOS RETANGULAR, EM CONCRETO PRÉ-MOLDADO, DIMENSÕES INTERNAS: 0,3X0,3X0,3 M, TAMPA EM GRELHA ARTICULADA</v>
      </c>
      <c r="E123" s="66" t="s">
        <v>124</v>
      </c>
      <c r="F123" s="170">
        <f>FONTE.7!C263</f>
        <v>12</v>
      </c>
      <c r="G123" s="842">
        <f>COMPOSIÇÕES!G255</f>
        <v>0</v>
      </c>
      <c r="H123" s="264">
        <f>COMPOSIÇÕES!H255</f>
        <v>111.38</v>
      </c>
      <c r="I123" s="710">
        <f t="shared" si="12"/>
        <v>144.53718995235886</v>
      </c>
      <c r="J123" s="105">
        <f>ROUND(I123*F123,2)</f>
        <v>1734.45</v>
      </c>
      <c r="K123" s="535"/>
      <c r="L123" s="705"/>
      <c r="M123" s="705"/>
      <c r="N123" s="705"/>
      <c r="O123" s="705"/>
      <c r="P123" s="797">
        <f t="shared" si="10"/>
        <v>1336.56</v>
      </c>
      <c r="Q123" s="705"/>
    </row>
    <row r="124" spans="1:17" s="739" customFormat="1" ht="21" customHeight="1" x14ac:dyDescent="0.2">
      <c r="A124" s="416" t="s">
        <v>750</v>
      </c>
      <c r="B124" s="414"/>
      <c r="C124" s="747"/>
      <c r="D124" s="748" t="s">
        <v>520</v>
      </c>
      <c r="E124" s="747"/>
      <c r="F124" s="749"/>
      <c r="G124" s="845"/>
      <c r="H124" s="750"/>
      <c r="I124" s="750"/>
      <c r="J124" s="728"/>
      <c r="K124" s="729"/>
      <c r="L124" s="705"/>
      <c r="M124" s="705"/>
      <c r="N124" s="705"/>
      <c r="O124" s="705"/>
      <c r="P124" s="797">
        <f t="shared" si="10"/>
        <v>0</v>
      </c>
      <c r="Q124" s="705"/>
    </row>
    <row r="125" spans="1:17" s="739" customFormat="1" ht="57" x14ac:dyDescent="0.2">
      <c r="A125" s="63" t="s">
        <v>751</v>
      </c>
      <c r="B125" s="1073" t="str">
        <f>COMPOSIÇÕES!A257</f>
        <v>COMPOSIÇÃO 25</v>
      </c>
      <c r="C125" s="1074"/>
      <c r="D125" s="126" t="str">
        <f>COMPOSIÇÕES!A258</f>
        <v>LUMINÁRIA ORNAMENTAL EMBUTIDA NO PISO ESTANQUE, COM PROTEÇÃO CONTRA ÁGUA, POEIRA OU IMPACTOS - TIPO AQUATIC PIAL OU EQUIVALENTE, INCLUINDO TUBO DE PVC, DN 100 MM E CAMADA DRENANTE</v>
      </c>
      <c r="E125" s="743" t="s">
        <v>124</v>
      </c>
      <c r="F125" s="55">
        <f>FONTE.7!C269</f>
        <v>8</v>
      </c>
      <c r="G125" s="846">
        <f>COMPOSIÇÕES!G269</f>
        <v>0</v>
      </c>
      <c r="H125" s="770">
        <f>COMPOSIÇÕES!H269</f>
        <v>361.3</v>
      </c>
      <c r="I125" s="710">
        <f t="shared" si="12"/>
        <v>468.85694675693355</v>
      </c>
      <c r="J125" s="533">
        <f t="shared" ref="J125:J138" si="16">ROUND((I125*F125),2)</f>
        <v>3750.86</v>
      </c>
      <c r="K125" s="535"/>
      <c r="L125" s="705"/>
      <c r="M125" s="705"/>
      <c r="N125" s="705"/>
      <c r="O125" s="705"/>
      <c r="P125" s="797">
        <f t="shared" si="10"/>
        <v>2890.4</v>
      </c>
      <c r="Q125" s="705"/>
    </row>
    <row r="126" spans="1:17" s="739" customFormat="1" ht="42.75" x14ac:dyDescent="0.2">
      <c r="A126" s="63" t="s">
        <v>752</v>
      </c>
      <c r="B126" s="66" t="s">
        <v>12</v>
      </c>
      <c r="C126" s="64" t="s">
        <v>522</v>
      </c>
      <c r="D126" s="65" t="s">
        <v>523</v>
      </c>
      <c r="E126" s="70" t="s">
        <v>52</v>
      </c>
      <c r="F126" s="55">
        <f>FONTE.7!C273</f>
        <v>20</v>
      </c>
      <c r="G126" s="847">
        <v>13.43</v>
      </c>
      <c r="H126" s="709">
        <f t="shared" ref="H126:H138" si="17">G126*$M$8+G126</f>
        <v>10.341099999999999</v>
      </c>
      <c r="I126" s="710">
        <f t="shared" si="12"/>
        <v>13.419586416020273</v>
      </c>
      <c r="J126" s="533">
        <f t="shared" si="16"/>
        <v>268.39</v>
      </c>
      <c r="K126" s="535"/>
      <c r="L126" s="705"/>
      <c r="M126" s="705"/>
      <c r="N126" s="705"/>
      <c r="O126" s="705"/>
      <c r="P126" s="797">
        <f t="shared" si="10"/>
        <v>206.82199999999997</v>
      </c>
      <c r="Q126" s="705"/>
    </row>
    <row r="127" spans="1:17" s="739" customFormat="1" ht="28.5" x14ac:dyDescent="0.2">
      <c r="A127" s="63" t="s">
        <v>1013</v>
      </c>
      <c r="B127" s="66" t="s">
        <v>12</v>
      </c>
      <c r="C127" s="64" t="s">
        <v>524</v>
      </c>
      <c r="D127" s="65" t="s">
        <v>525</v>
      </c>
      <c r="E127" s="70" t="s">
        <v>52</v>
      </c>
      <c r="F127" s="55">
        <f>FONTE.7!C277</f>
        <v>1.5</v>
      </c>
      <c r="G127" s="842">
        <v>17.850000000000001</v>
      </c>
      <c r="H127" s="709">
        <f t="shared" si="17"/>
        <v>13.744500000000002</v>
      </c>
      <c r="I127" s="710">
        <f t="shared" si="12"/>
        <v>17.836159160533281</v>
      </c>
      <c r="J127" s="533">
        <f t="shared" si="16"/>
        <v>26.75</v>
      </c>
      <c r="K127" s="535"/>
      <c r="L127" s="705"/>
      <c r="M127" s="705"/>
      <c r="N127" s="705"/>
      <c r="O127" s="705"/>
      <c r="P127" s="797">
        <f t="shared" si="10"/>
        <v>20.616750000000003</v>
      </c>
      <c r="Q127" s="705"/>
    </row>
    <row r="128" spans="1:17" s="739" customFormat="1" ht="28.5" x14ac:dyDescent="0.2">
      <c r="A128" s="63" t="s">
        <v>1014</v>
      </c>
      <c r="B128" s="68" t="s">
        <v>12</v>
      </c>
      <c r="C128" s="742" t="s">
        <v>526</v>
      </c>
      <c r="D128" s="688" t="s">
        <v>527</v>
      </c>
      <c r="E128" s="110" t="s">
        <v>52</v>
      </c>
      <c r="F128" s="176">
        <f>FONTE.7!C281</f>
        <v>0.5</v>
      </c>
      <c r="G128" s="848">
        <v>27.07</v>
      </c>
      <c r="H128" s="709">
        <f t="shared" si="17"/>
        <v>20.843899999999998</v>
      </c>
      <c r="I128" s="710">
        <f t="shared" si="12"/>
        <v>27.049009998635057</v>
      </c>
      <c r="J128" s="760">
        <f t="shared" si="16"/>
        <v>13.52</v>
      </c>
      <c r="K128" s="718"/>
      <c r="L128" s="705"/>
      <c r="M128" s="705"/>
      <c r="N128" s="705"/>
      <c r="O128" s="705"/>
      <c r="P128" s="797">
        <f t="shared" si="10"/>
        <v>10.421949999999999</v>
      </c>
      <c r="Q128" s="705"/>
    </row>
    <row r="129" spans="1:17" s="739" customFormat="1" ht="47.25" customHeight="1" x14ac:dyDescent="0.2">
      <c r="A129" s="63" t="s">
        <v>1015</v>
      </c>
      <c r="B129" s="68" t="s">
        <v>12</v>
      </c>
      <c r="C129" s="742" t="s">
        <v>380</v>
      </c>
      <c r="D129" s="688" t="s">
        <v>100</v>
      </c>
      <c r="E129" s="110" t="s">
        <v>52</v>
      </c>
      <c r="F129" s="176">
        <f>FONTE.7!C285</f>
        <v>78</v>
      </c>
      <c r="G129" s="848">
        <v>4.17</v>
      </c>
      <c r="H129" s="709">
        <f t="shared" si="17"/>
        <v>3.2108999999999996</v>
      </c>
      <c r="I129" s="710">
        <f t="shared" si="12"/>
        <v>4.1667665938052529</v>
      </c>
      <c r="J129" s="760">
        <f t="shared" si="16"/>
        <v>325.01</v>
      </c>
      <c r="K129" s="718"/>
      <c r="L129" s="705"/>
      <c r="M129" s="705"/>
      <c r="N129" s="705"/>
      <c r="O129" s="705"/>
      <c r="P129" s="797">
        <f t="shared" si="10"/>
        <v>250.45019999999997</v>
      </c>
      <c r="Q129" s="705"/>
    </row>
    <row r="130" spans="1:17" s="739" customFormat="1" ht="45.75" customHeight="1" x14ac:dyDescent="0.2">
      <c r="A130" s="63" t="s">
        <v>1016</v>
      </c>
      <c r="B130" s="66" t="s">
        <v>12</v>
      </c>
      <c r="C130" s="64" t="s">
        <v>621</v>
      </c>
      <c r="D130" s="65" t="s">
        <v>622</v>
      </c>
      <c r="E130" s="70" t="s">
        <v>124</v>
      </c>
      <c r="F130" s="55">
        <f>FONTE.7!C289</f>
        <v>2</v>
      </c>
      <c r="G130" s="846">
        <v>163.72999999999999</v>
      </c>
      <c r="H130" s="709">
        <f t="shared" si="17"/>
        <v>126.07209999999999</v>
      </c>
      <c r="I130" s="710">
        <f t="shared" si="12"/>
        <v>163.60304422151896</v>
      </c>
      <c r="J130" s="533">
        <f t="shared" si="16"/>
        <v>327.20999999999998</v>
      </c>
      <c r="K130" s="535"/>
      <c r="L130" s="705"/>
      <c r="M130" s="705"/>
      <c r="N130" s="705"/>
      <c r="O130" s="705"/>
      <c r="P130" s="797">
        <f t="shared" si="10"/>
        <v>252.14419999999998</v>
      </c>
      <c r="Q130" s="705"/>
    </row>
    <row r="131" spans="1:17" s="739" customFormat="1" ht="45.75" customHeight="1" x14ac:dyDescent="0.2">
      <c r="A131" s="63" t="s">
        <v>1017</v>
      </c>
      <c r="B131" s="66" t="s">
        <v>12</v>
      </c>
      <c r="C131" s="64" t="s">
        <v>81</v>
      </c>
      <c r="D131" s="65" t="s">
        <v>82</v>
      </c>
      <c r="E131" s="70" t="s">
        <v>52</v>
      </c>
      <c r="F131" s="55">
        <f>FONTE.7!C293</f>
        <v>60</v>
      </c>
      <c r="G131" s="847">
        <v>6.92</v>
      </c>
      <c r="H131" s="709">
        <f t="shared" si="17"/>
        <v>5.3284000000000002</v>
      </c>
      <c r="I131" s="710">
        <f t="shared" si="12"/>
        <v>6.9146342515904919</v>
      </c>
      <c r="J131" s="533">
        <f t="shared" si="16"/>
        <v>414.88</v>
      </c>
      <c r="K131" s="535"/>
      <c r="L131" s="705"/>
      <c r="M131" s="705"/>
      <c r="N131" s="705"/>
      <c r="O131" s="705"/>
      <c r="P131" s="797">
        <f t="shared" si="10"/>
        <v>319.70400000000001</v>
      </c>
      <c r="Q131" s="705"/>
    </row>
    <row r="132" spans="1:17" s="739" customFormat="1" ht="45" customHeight="1" x14ac:dyDescent="0.2">
      <c r="A132" s="63" t="s">
        <v>1018</v>
      </c>
      <c r="B132" s="66" t="s">
        <v>12</v>
      </c>
      <c r="C132" s="64" t="s">
        <v>528</v>
      </c>
      <c r="D132" s="65" t="s">
        <v>529</v>
      </c>
      <c r="E132" s="70" t="s">
        <v>124</v>
      </c>
      <c r="F132" s="55">
        <f>FONTE.7!C297</f>
        <v>1</v>
      </c>
      <c r="G132" s="842">
        <v>26.04</v>
      </c>
      <c r="H132" s="709">
        <f t="shared" si="17"/>
        <v>20.050799999999999</v>
      </c>
      <c r="I132" s="710">
        <f t="shared" si="12"/>
        <v>26.019808657719132</v>
      </c>
      <c r="J132" s="533">
        <f t="shared" si="16"/>
        <v>26.02</v>
      </c>
      <c r="K132" s="535"/>
      <c r="L132" s="705"/>
      <c r="M132" s="705"/>
      <c r="N132" s="705"/>
      <c r="O132" s="705"/>
      <c r="P132" s="797">
        <f t="shared" si="10"/>
        <v>20.050799999999999</v>
      </c>
      <c r="Q132" s="705"/>
    </row>
    <row r="133" spans="1:17" s="739" customFormat="1" ht="42.75" x14ac:dyDescent="0.2">
      <c r="A133" s="63" t="s">
        <v>1019</v>
      </c>
      <c r="B133" s="68" t="s">
        <v>12</v>
      </c>
      <c r="C133" s="742" t="s">
        <v>530</v>
      </c>
      <c r="D133" s="688" t="s">
        <v>531</v>
      </c>
      <c r="E133" s="110" t="s">
        <v>124</v>
      </c>
      <c r="F133" s="176">
        <f>FONTE.7!C301</f>
        <v>1</v>
      </c>
      <c r="G133" s="848">
        <v>23.87</v>
      </c>
      <c r="H133" s="709">
        <f t="shared" si="17"/>
        <v>18.379899999999999</v>
      </c>
      <c r="I133" s="710">
        <f t="shared" si="12"/>
        <v>23.851491269575874</v>
      </c>
      <c r="J133" s="760">
        <f t="shared" si="16"/>
        <v>23.85</v>
      </c>
      <c r="K133" s="718"/>
      <c r="L133" s="705"/>
      <c r="M133" s="705"/>
      <c r="N133" s="705"/>
      <c r="O133" s="705"/>
      <c r="P133" s="797">
        <f t="shared" si="10"/>
        <v>18.379899999999999</v>
      </c>
      <c r="Q133" s="705"/>
    </row>
    <row r="134" spans="1:17" s="739" customFormat="1" ht="42.75" x14ac:dyDescent="0.2">
      <c r="A134" s="63" t="s">
        <v>1020</v>
      </c>
      <c r="B134" s="68" t="s">
        <v>12</v>
      </c>
      <c r="C134" s="742" t="s">
        <v>619</v>
      </c>
      <c r="D134" s="688" t="s">
        <v>620</v>
      </c>
      <c r="E134" s="110" t="s">
        <v>124</v>
      </c>
      <c r="F134" s="176">
        <f>FONTE.7!C305</f>
        <v>1</v>
      </c>
      <c r="G134" s="848">
        <v>69.64</v>
      </c>
      <c r="H134" s="709">
        <f t="shared" si="17"/>
        <v>53.622799999999998</v>
      </c>
      <c r="I134" s="710">
        <f t="shared" si="12"/>
        <v>69.586001341150549</v>
      </c>
      <c r="J134" s="760">
        <f t="shared" si="16"/>
        <v>69.59</v>
      </c>
      <c r="K134" s="718"/>
      <c r="L134" s="705"/>
      <c r="M134" s="705"/>
      <c r="N134" s="705"/>
      <c r="O134" s="705"/>
      <c r="P134" s="797">
        <f t="shared" si="10"/>
        <v>53.622799999999998</v>
      </c>
      <c r="Q134" s="705"/>
    </row>
    <row r="135" spans="1:17" s="739" customFormat="1" ht="28.5" x14ac:dyDescent="0.2">
      <c r="A135" s="63" t="s">
        <v>1021</v>
      </c>
      <c r="B135" s="66" t="s">
        <v>12</v>
      </c>
      <c r="C135" s="64" t="s">
        <v>532</v>
      </c>
      <c r="D135" s="65" t="s">
        <v>533</v>
      </c>
      <c r="E135" s="70" t="s">
        <v>124</v>
      </c>
      <c r="F135" s="55">
        <f>FONTE.7!C309</f>
        <v>2</v>
      </c>
      <c r="G135" s="847">
        <v>56.38</v>
      </c>
      <c r="H135" s="709">
        <f t="shared" si="17"/>
        <v>43.412599999999998</v>
      </c>
      <c r="I135" s="710">
        <f t="shared" si="12"/>
        <v>56.33628310761155</v>
      </c>
      <c r="J135" s="533">
        <f t="shared" si="16"/>
        <v>112.67</v>
      </c>
      <c r="K135" s="535"/>
      <c r="L135" s="705"/>
      <c r="M135" s="705"/>
      <c r="N135" s="705"/>
      <c r="O135" s="705"/>
      <c r="P135" s="797">
        <f t="shared" si="10"/>
        <v>86.825199999999995</v>
      </c>
      <c r="Q135" s="705"/>
    </row>
    <row r="136" spans="1:17" s="739" customFormat="1" ht="28.5" x14ac:dyDescent="0.2">
      <c r="A136" s="63" t="s">
        <v>1022</v>
      </c>
      <c r="B136" s="66" t="s">
        <v>12</v>
      </c>
      <c r="C136" s="64" t="s">
        <v>623</v>
      </c>
      <c r="D136" s="65" t="s">
        <v>624</v>
      </c>
      <c r="E136" s="70" t="s">
        <v>124</v>
      </c>
      <c r="F136" s="55">
        <f>FONTE.7!C313</f>
        <v>3</v>
      </c>
      <c r="G136" s="842">
        <v>89.79</v>
      </c>
      <c r="H136" s="709">
        <f t="shared" si="17"/>
        <v>69.138300000000001</v>
      </c>
      <c r="I136" s="710">
        <f t="shared" si="12"/>
        <v>89.720377088195121</v>
      </c>
      <c r="J136" s="533">
        <f t="shared" si="16"/>
        <v>269.16000000000003</v>
      </c>
      <c r="K136" s="535"/>
      <c r="L136" s="705"/>
      <c r="M136" s="705"/>
      <c r="N136" s="705"/>
      <c r="O136" s="705"/>
      <c r="P136" s="797">
        <f t="shared" si="10"/>
        <v>207.41489999999999</v>
      </c>
      <c r="Q136" s="705"/>
    </row>
    <row r="137" spans="1:17" s="739" customFormat="1" ht="36" customHeight="1" x14ac:dyDescent="0.2">
      <c r="A137" s="63" t="s">
        <v>1023</v>
      </c>
      <c r="B137" s="68" t="s">
        <v>12</v>
      </c>
      <c r="C137" s="742" t="s">
        <v>534</v>
      </c>
      <c r="D137" s="688" t="s">
        <v>535</v>
      </c>
      <c r="E137" s="110" t="s">
        <v>124</v>
      </c>
      <c r="F137" s="176">
        <v>3</v>
      </c>
      <c r="G137" s="848">
        <v>98.31</v>
      </c>
      <c r="H137" s="709">
        <f t="shared" si="17"/>
        <v>75.698700000000002</v>
      </c>
      <c r="I137" s="710">
        <f t="shared" si="12"/>
        <v>98.233770704315219</v>
      </c>
      <c r="J137" s="760">
        <f t="shared" si="16"/>
        <v>294.7</v>
      </c>
      <c r="K137" s="718"/>
      <c r="L137" s="705"/>
      <c r="M137" s="705"/>
      <c r="N137" s="705"/>
      <c r="O137" s="705"/>
      <c r="P137" s="797">
        <f t="shared" si="10"/>
        <v>227.09610000000001</v>
      </c>
      <c r="Q137" s="705"/>
    </row>
    <row r="138" spans="1:17" s="739" customFormat="1" ht="33.75" customHeight="1" x14ac:dyDescent="0.2">
      <c r="A138" s="63" t="s">
        <v>1024</v>
      </c>
      <c r="B138" s="68" t="s">
        <v>12</v>
      </c>
      <c r="C138" s="742" t="s">
        <v>536</v>
      </c>
      <c r="D138" s="688" t="s">
        <v>537</v>
      </c>
      <c r="E138" s="110" t="s">
        <v>124</v>
      </c>
      <c r="F138" s="176">
        <v>3</v>
      </c>
      <c r="G138" s="848">
        <v>51.54</v>
      </c>
      <c r="H138" s="709">
        <f t="shared" si="17"/>
        <v>39.6858</v>
      </c>
      <c r="I138" s="710">
        <f t="shared" si="12"/>
        <v>51.500036029909531</v>
      </c>
      <c r="J138" s="760">
        <f t="shared" si="16"/>
        <v>154.5</v>
      </c>
      <c r="K138" s="718"/>
      <c r="L138" s="705"/>
      <c r="M138" s="705"/>
      <c r="N138" s="705"/>
      <c r="O138" s="705"/>
      <c r="P138" s="797">
        <f t="shared" si="10"/>
        <v>119.0574</v>
      </c>
      <c r="Q138" s="705"/>
    </row>
    <row r="139" spans="1:17" s="739" customFormat="1" ht="21" customHeight="1" x14ac:dyDescent="0.2">
      <c r="A139" s="416" t="s">
        <v>753</v>
      </c>
      <c r="B139" s="414"/>
      <c r="C139" s="747"/>
      <c r="D139" s="748" t="s">
        <v>134</v>
      </c>
      <c r="E139" s="747"/>
      <c r="F139" s="749"/>
      <c r="G139" s="845"/>
      <c r="H139" s="750"/>
      <c r="I139" s="750"/>
      <c r="J139" s="728"/>
      <c r="K139" s="729"/>
      <c r="L139" s="705"/>
      <c r="M139" s="705"/>
      <c r="N139" s="705"/>
      <c r="O139" s="705"/>
      <c r="P139" s="797">
        <f t="shared" si="10"/>
        <v>0</v>
      </c>
      <c r="Q139" s="705"/>
    </row>
    <row r="140" spans="1:17" ht="49.5" customHeight="1" x14ac:dyDescent="0.2">
      <c r="A140" s="768" t="s">
        <v>754</v>
      </c>
      <c r="B140" s="1073" t="str">
        <f>COMPOSIÇÕES!A271</f>
        <v>COMPOSIÇÃO 26</v>
      </c>
      <c r="C140" s="1074"/>
      <c r="D140" s="126" t="str">
        <f>COMPOSIÇÕES!A272</f>
        <v>BASE DO MONUMENTO, 9,85Mx3,00Mx0,20M, EM CONCRETO, INCLUSIVE TENTO, LASTRO E ATERRO. ACABAMENTO COM PISO EM PEDRA ARDÓSIA - FORNECIMENTO E EXECUÇÃO</v>
      </c>
      <c r="E140" s="110" t="s">
        <v>124</v>
      </c>
      <c r="F140" s="171">
        <v>1</v>
      </c>
      <c r="G140" s="850">
        <f>COMPOSIÇÕES!G281</f>
        <v>0</v>
      </c>
      <c r="H140" s="125">
        <f>COMPOSIÇÕES!H281</f>
        <v>7054.75</v>
      </c>
      <c r="I140" s="710">
        <f t="shared" si="12"/>
        <v>9154.9087880804782</v>
      </c>
      <c r="J140" s="760">
        <f>ROUND((I140*F140),2)</f>
        <v>9154.91</v>
      </c>
      <c r="K140" s="718"/>
      <c r="P140" s="797">
        <f t="shared" si="10"/>
        <v>7054.75</v>
      </c>
    </row>
    <row r="141" spans="1:17" ht="31.5" customHeight="1" x14ac:dyDescent="0.2">
      <c r="A141" s="768" t="s">
        <v>755</v>
      </c>
      <c r="B141" s="1073" t="str">
        <f>COMPOSIÇÕES!A283</f>
        <v>COMPOSIÇÃO 27</v>
      </c>
      <c r="C141" s="1074"/>
      <c r="D141" s="114" t="str">
        <f>COMPOSIÇÕES!A284</f>
        <v>FORNECIMENTO INSTALAÇÃO DE MONUMENTO DE TOURO EM CONCRETO ARMADO</v>
      </c>
      <c r="E141" s="110" t="s">
        <v>124</v>
      </c>
      <c r="F141" s="171">
        <v>1</v>
      </c>
      <c r="G141" s="850">
        <f>COMPOSIÇÕES!G287</f>
        <v>0</v>
      </c>
      <c r="H141" s="337">
        <f>COMPOSIÇÕES!H287</f>
        <v>51205</v>
      </c>
      <c r="I141" s="710">
        <f t="shared" si="12"/>
        <v>66448.436088261224</v>
      </c>
      <c r="J141" s="760">
        <f>ROUND((I141*F141),2)</f>
        <v>66448.44</v>
      </c>
      <c r="K141" s="771"/>
      <c r="P141" s="797">
        <f t="shared" si="10"/>
        <v>51205</v>
      </c>
    </row>
    <row r="142" spans="1:17" ht="24" customHeight="1" x14ac:dyDescent="0.25">
      <c r="A142" s="695">
        <v>8</v>
      </c>
      <c r="B142" s="379"/>
      <c r="C142" s="695"/>
      <c r="D142" s="380" t="s">
        <v>476</v>
      </c>
      <c r="E142" s="695"/>
      <c r="F142" s="381"/>
      <c r="G142" s="827"/>
      <c r="H142" s="381"/>
      <c r="I142" s="381"/>
      <c r="J142" s="384">
        <f>SUM(J143:J161)</f>
        <v>187661.76523299608</v>
      </c>
      <c r="K142" s="704">
        <f>J142/$J$189</f>
        <v>0.15599882298790527</v>
      </c>
      <c r="M142" s="706">
        <v>171765.05</v>
      </c>
      <c r="P142" s="797">
        <f t="shared" si="10"/>
        <v>0</v>
      </c>
    </row>
    <row r="143" spans="1:17" ht="75" customHeight="1" x14ac:dyDescent="0.2">
      <c r="A143" s="63" t="s">
        <v>172</v>
      </c>
      <c r="B143" s="1081" t="str">
        <f>COMPOSIÇÕES!A289</f>
        <v>COMPOSIÇÃO 28</v>
      </c>
      <c r="C143" s="1082"/>
      <c r="D143" s="708" t="str">
        <f>COMPOSIÇÕES!A290</f>
        <v>POSTE CONICO CONTINUO EM ACO GALVANIZADO, RETO, FLANGEADO, H = 5 M, DIAMETRO INFERIOR = *125* MM COM LUMINARIA DE LED PARA ILUMINACAO PUBLICA, DE 120 W, INVOLUCRO EM ALUMINIO OU ACO INOX, (DECORATIVA )  - FORNECIMENTO E INSTALAÇÃO</v>
      </c>
      <c r="E143" s="110" t="s">
        <v>124</v>
      </c>
      <c r="F143" s="233">
        <f>ELÉTRICO.8!C19</f>
        <v>25</v>
      </c>
      <c r="G143" s="852">
        <f>COMPOSIÇÕES!G307</f>
        <v>0</v>
      </c>
      <c r="H143" s="772">
        <f>COMPOSIÇÕES!H307</f>
        <v>3702.22</v>
      </c>
      <c r="I143" s="710">
        <f t="shared" si="12"/>
        <v>4804.3497520687915</v>
      </c>
      <c r="J143" s="741">
        <f t="shared" ref="J143" si="18">I143*F143</f>
        <v>120108.74380171979</v>
      </c>
      <c r="K143" s="113"/>
      <c r="P143" s="797">
        <f t="shared" si="10"/>
        <v>92555.5</v>
      </c>
    </row>
    <row r="144" spans="1:17" ht="51.75" customHeight="1" x14ac:dyDescent="0.2">
      <c r="A144" s="63" t="s">
        <v>173</v>
      </c>
      <c r="B144" s="104" t="s">
        <v>12</v>
      </c>
      <c r="C144" s="721" t="s">
        <v>1071</v>
      </c>
      <c r="D144" s="65" t="s">
        <v>781</v>
      </c>
      <c r="E144" s="70" t="s">
        <v>52</v>
      </c>
      <c r="F144" s="229">
        <f>ELÉTRICO.8!C23</f>
        <v>572.5</v>
      </c>
      <c r="G144" s="853">
        <v>6.49</v>
      </c>
      <c r="H144" s="709">
        <f t="shared" ref="H144:H161" si="19">G144*$M$8+G144</f>
        <v>4.9973000000000001</v>
      </c>
      <c r="I144" s="710">
        <f t="shared" si="12"/>
        <v>6.4849676723731635</v>
      </c>
      <c r="J144" s="533">
        <f t="shared" ref="J144:J146" si="20">I144*F144</f>
        <v>3712.643992433636</v>
      </c>
      <c r="K144" s="718"/>
      <c r="P144" s="797">
        <f t="shared" ref="P144:P188" si="21">H144*F144</f>
        <v>2860.9542500000002</v>
      </c>
    </row>
    <row r="145" spans="1:16" ht="52.5" customHeight="1" x14ac:dyDescent="0.2">
      <c r="A145" s="63" t="s">
        <v>174</v>
      </c>
      <c r="B145" s="104" t="s">
        <v>12</v>
      </c>
      <c r="C145" s="721" t="s">
        <v>1072</v>
      </c>
      <c r="D145" s="773" t="s">
        <v>782</v>
      </c>
      <c r="E145" s="70" t="s">
        <v>52</v>
      </c>
      <c r="F145" s="229">
        <f>ELÉTRICO.8!C27</f>
        <v>74.5</v>
      </c>
      <c r="G145" s="853">
        <v>10.92</v>
      </c>
      <c r="H145" s="709">
        <f t="shared" si="19"/>
        <v>8.4084000000000003</v>
      </c>
      <c r="I145" s="710">
        <f t="shared" si="12"/>
        <v>10.911532662914476</v>
      </c>
      <c r="J145" s="533">
        <f t="shared" si="20"/>
        <v>812.90918338712845</v>
      </c>
      <c r="K145" s="718"/>
      <c r="P145" s="797">
        <f t="shared" si="21"/>
        <v>626.42579999999998</v>
      </c>
    </row>
    <row r="146" spans="1:16" ht="41.25" customHeight="1" x14ac:dyDescent="0.2">
      <c r="A146" s="63" t="s">
        <v>175</v>
      </c>
      <c r="B146" s="104" t="s">
        <v>12</v>
      </c>
      <c r="C146" s="721" t="s">
        <v>776</v>
      </c>
      <c r="D146" s="65" t="s">
        <v>783</v>
      </c>
      <c r="E146" s="70" t="s">
        <v>52</v>
      </c>
      <c r="F146" s="229">
        <f>ELÉTRICO.8!C32</f>
        <v>300.05</v>
      </c>
      <c r="G146" s="853">
        <v>47.03</v>
      </c>
      <c r="H146" s="709">
        <f t="shared" si="19"/>
        <v>36.213099999999997</v>
      </c>
      <c r="I146" s="710">
        <f t="shared" si="12"/>
        <v>46.993533071141734</v>
      </c>
      <c r="J146" s="533">
        <f t="shared" si="20"/>
        <v>14100.409597996078</v>
      </c>
      <c r="K146" s="718"/>
      <c r="P146" s="797">
        <f t="shared" si="21"/>
        <v>10865.740655</v>
      </c>
    </row>
    <row r="147" spans="1:16" ht="42.75" x14ac:dyDescent="0.2">
      <c r="A147" s="63" t="s">
        <v>176</v>
      </c>
      <c r="B147" s="104" t="s">
        <v>12</v>
      </c>
      <c r="C147" s="721" t="s">
        <v>1073</v>
      </c>
      <c r="D147" s="65" t="s">
        <v>784</v>
      </c>
      <c r="E147" s="70" t="s">
        <v>52</v>
      </c>
      <c r="F147" s="229">
        <f>ELÉTRICO.8!C41</f>
        <v>4247.3999999999996</v>
      </c>
      <c r="G147" s="853">
        <v>5.62</v>
      </c>
      <c r="H147" s="709">
        <f t="shared" si="19"/>
        <v>4.3273999999999999</v>
      </c>
      <c r="I147" s="710">
        <f t="shared" ref="I147:I188" si="22">H147*$B$7+H147</f>
        <v>5.6156422679101965</v>
      </c>
      <c r="J147" s="533">
        <f t="shared" ref="J147:J161" si="23">I147*F147</f>
        <v>23851.878968721765</v>
      </c>
      <c r="K147" s="718"/>
      <c r="P147" s="797">
        <f t="shared" si="21"/>
        <v>18380.198759999999</v>
      </c>
    </row>
    <row r="148" spans="1:16" ht="42.75" x14ac:dyDescent="0.2">
      <c r="A148" s="63" t="s">
        <v>1025</v>
      </c>
      <c r="B148" s="104" t="s">
        <v>12</v>
      </c>
      <c r="C148" s="721" t="s">
        <v>1074</v>
      </c>
      <c r="D148" s="65" t="s">
        <v>785</v>
      </c>
      <c r="E148" s="70" t="s">
        <v>52</v>
      </c>
      <c r="F148" s="229">
        <f>ELÉTRICO.8!C49</f>
        <v>1229.6999999999998</v>
      </c>
      <c r="G148" s="853">
        <v>7.94</v>
      </c>
      <c r="H148" s="709">
        <f t="shared" si="19"/>
        <v>6.1138000000000003</v>
      </c>
      <c r="I148" s="710">
        <f t="shared" si="22"/>
        <v>7.933843346478108</v>
      </c>
      <c r="J148" s="533">
        <f t="shared" si="23"/>
        <v>9756.2471631641274</v>
      </c>
      <c r="K148" s="718"/>
      <c r="P148" s="797">
        <f t="shared" si="21"/>
        <v>7518.1398599999993</v>
      </c>
    </row>
    <row r="149" spans="1:16" ht="42.75" x14ac:dyDescent="0.2">
      <c r="A149" s="63" t="s">
        <v>1026</v>
      </c>
      <c r="B149" s="104" t="s">
        <v>12</v>
      </c>
      <c r="C149" s="721" t="s">
        <v>1075</v>
      </c>
      <c r="D149" s="65" t="s">
        <v>786</v>
      </c>
      <c r="E149" s="70" t="s">
        <v>52</v>
      </c>
      <c r="F149" s="229">
        <f>ELÉTRICO.8!C57</f>
        <v>90</v>
      </c>
      <c r="G149" s="853">
        <v>25.82</v>
      </c>
      <c r="H149" s="709">
        <f t="shared" si="19"/>
        <v>19.881399999999999</v>
      </c>
      <c r="I149" s="710">
        <f t="shared" si="22"/>
        <v>25.799979245096313</v>
      </c>
      <c r="J149" s="533">
        <f t="shared" si="23"/>
        <v>2321.998132058668</v>
      </c>
      <c r="K149" s="718"/>
      <c r="P149" s="797">
        <f t="shared" si="21"/>
        <v>1789.326</v>
      </c>
    </row>
    <row r="150" spans="1:16" ht="28.5" x14ac:dyDescent="0.2">
      <c r="A150" s="63" t="s">
        <v>1027</v>
      </c>
      <c r="B150" s="104" t="s">
        <v>12</v>
      </c>
      <c r="C150" s="721" t="s">
        <v>1076</v>
      </c>
      <c r="D150" s="65" t="s">
        <v>787</v>
      </c>
      <c r="E150" s="110" t="s">
        <v>124</v>
      </c>
      <c r="F150" s="229">
        <f>ELÉTRICO.8!C62</f>
        <v>1</v>
      </c>
      <c r="G150" s="853">
        <v>3111.62</v>
      </c>
      <c r="H150" s="709">
        <f t="shared" si="19"/>
        <v>2395.9474</v>
      </c>
      <c r="I150" s="710">
        <f t="shared" si="22"/>
        <v>3109.2072586609838</v>
      </c>
      <c r="J150" s="533">
        <f t="shared" si="23"/>
        <v>3109.2072586609838</v>
      </c>
      <c r="K150" s="718"/>
      <c r="P150" s="797">
        <f t="shared" si="21"/>
        <v>2395.9474</v>
      </c>
    </row>
    <row r="151" spans="1:16" ht="18.75" customHeight="1" x14ac:dyDescent="0.2">
      <c r="A151" s="63" t="s">
        <v>1028</v>
      </c>
      <c r="B151" s="104" t="s">
        <v>267</v>
      </c>
      <c r="C151" s="721" t="s">
        <v>777</v>
      </c>
      <c r="D151" s="65" t="s">
        <v>788</v>
      </c>
      <c r="E151" s="110" t="s">
        <v>124</v>
      </c>
      <c r="F151" s="229">
        <f>ELÉTRICO.8!C67</f>
        <v>1</v>
      </c>
      <c r="G151" s="853">
        <v>873.2</v>
      </c>
      <c r="H151" s="709">
        <f t="shared" si="19"/>
        <v>672.36400000000003</v>
      </c>
      <c r="I151" s="710">
        <f t="shared" si="22"/>
        <v>872.5229231920257</v>
      </c>
      <c r="J151" s="533">
        <f t="shared" si="23"/>
        <v>872.5229231920257</v>
      </c>
      <c r="K151" s="718"/>
      <c r="P151" s="797">
        <f t="shared" si="21"/>
        <v>672.36400000000003</v>
      </c>
    </row>
    <row r="152" spans="1:16" ht="18.75" customHeight="1" x14ac:dyDescent="0.2">
      <c r="A152" s="63" t="s">
        <v>1029</v>
      </c>
      <c r="B152" s="104" t="s">
        <v>267</v>
      </c>
      <c r="C152" s="721" t="s">
        <v>778</v>
      </c>
      <c r="D152" s="65" t="s">
        <v>789</v>
      </c>
      <c r="E152" s="110" t="s">
        <v>124</v>
      </c>
      <c r="F152" s="229">
        <f>ELÉTRICO.8!C72</f>
        <v>1</v>
      </c>
      <c r="G152" s="853">
        <v>769.25</v>
      </c>
      <c r="H152" s="709">
        <f t="shared" si="19"/>
        <v>592.32249999999999</v>
      </c>
      <c r="I152" s="710">
        <f t="shared" si="22"/>
        <v>768.65352572774361</v>
      </c>
      <c r="J152" s="533">
        <f t="shared" si="23"/>
        <v>768.65352572774361</v>
      </c>
      <c r="K152" s="718"/>
      <c r="P152" s="797">
        <f t="shared" si="21"/>
        <v>592.32249999999999</v>
      </c>
    </row>
    <row r="153" spans="1:16" ht="28.5" x14ac:dyDescent="0.2">
      <c r="A153" s="63" t="s">
        <v>1030</v>
      </c>
      <c r="B153" s="104" t="s">
        <v>12</v>
      </c>
      <c r="C153" s="721" t="s">
        <v>1077</v>
      </c>
      <c r="D153" s="65" t="s">
        <v>790</v>
      </c>
      <c r="E153" s="110" t="s">
        <v>124</v>
      </c>
      <c r="F153" s="229">
        <f>ELÉTRICO.8!C77</f>
        <v>8</v>
      </c>
      <c r="G153" s="853">
        <v>11.74</v>
      </c>
      <c r="H153" s="709">
        <f t="shared" si="19"/>
        <v>9.0397999999999996</v>
      </c>
      <c r="I153" s="710">
        <f t="shared" si="22"/>
        <v>11.730896837235893</v>
      </c>
      <c r="J153" s="533">
        <f t="shared" si="23"/>
        <v>93.847174697887141</v>
      </c>
      <c r="K153" s="718"/>
      <c r="P153" s="797">
        <f t="shared" si="21"/>
        <v>72.318399999999997</v>
      </c>
    </row>
    <row r="154" spans="1:16" ht="28.5" x14ac:dyDescent="0.2">
      <c r="A154" s="63" t="s">
        <v>1031</v>
      </c>
      <c r="B154" s="104" t="s">
        <v>12</v>
      </c>
      <c r="C154" s="721" t="s">
        <v>1078</v>
      </c>
      <c r="D154" s="65" t="s">
        <v>791</v>
      </c>
      <c r="E154" s="110" t="s">
        <v>124</v>
      </c>
      <c r="F154" s="229">
        <f>ELÉTRICO.8!C82</f>
        <v>2</v>
      </c>
      <c r="G154" s="853">
        <v>57.34</v>
      </c>
      <c r="H154" s="709">
        <f t="shared" si="19"/>
        <v>44.151800000000001</v>
      </c>
      <c r="I154" s="710">
        <f t="shared" si="22"/>
        <v>57.295538726329312</v>
      </c>
      <c r="J154" s="533">
        <f t="shared" si="23"/>
        <v>114.59107745265862</v>
      </c>
      <c r="K154" s="718"/>
      <c r="P154" s="797">
        <f t="shared" si="21"/>
        <v>88.303600000000003</v>
      </c>
    </row>
    <row r="155" spans="1:16" ht="28.5" x14ac:dyDescent="0.2">
      <c r="A155" s="63" t="s">
        <v>1032</v>
      </c>
      <c r="B155" s="104" t="s">
        <v>12</v>
      </c>
      <c r="C155" s="721" t="s">
        <v>1079</v>
      </c>
      <c r="D155" s="65" t="s">
        <v>792</v>
      </c>
      <c r="E155" s="110" t="s">
        <v>124</v>
      </c>
      <c r="F155" s="229">
        <f>ELÉTRICO.8!C87</f>
        <v>1</v>
      </c>
      <c r="G155" s="853">
        <v>69.12</v>
      </c>
      <c r="H155" s="709">
        <f t="shared" si="19"/>
        <v>53.2224</v>
      </c>
      <c r="I155" s="710">
        <f t="shared" si="22"/>
        <v>69.066404547678445</v>
      </c>
      <c r="J155" s="533">
        <f t="shared" si="23"/>
        <v>69.066404547678445</v>
      </c>
      <c r="K155" s="718"/>
      <c r="P155" s="797">
        <f t="shared" si="21"/>
        <v>53.2224</v>
      </c>
    </row>
    <row r="156" spans="1:16" ht="28.5" x14ac:dyDescent="0.2">
      <c r="A156" s="63" t="s">
        <v>1033</v>
      </c>
      <c r="B156" s="104" t="s">
        <v>12</v>
      </c>
      <c r="C156" s="721" t="s">
        <v>917</v>
      </c>
      <c r="D156" s="65" t="s">
        <v>793</v>
      </c>
      <c r="E156" s="110" t="s">
        <v>124</v>
      </c>
      <c r="F156" s="229">
        <f>ELÉTRICO.8!C92</f>
        <v>1</v>
      </c>
      <c r="G156" s="853">
        <v>148.25</v>
      </c>
      <c r="H156" s="709">
        <f t="shared" si="19"/>
        <v>114.1525</v>
      </c>
      <c r="I156" s="710">
        <f t="shared" si="22"/>
        <v>148.13504736969514</v>
      </c>
      <c r="J156" s="533">
        <f t="shared" si="23"/>
        <v>148.13504736969514</v>
      </c>
      <c r="K156" s="718"/>
      <c r="P156" s="797">
        <f t="shared" si="21"/>
        <v>114.1525</v>
      </c>
    </row>
    <row r="157" spans="1:16" ht="19.5" customHeight="1" x14ac:dyDescent="0.2">
      <c r="A157" s="63" t="s">
        <v>1034</v>
      </c>
      <c r="B157" s="104" t="s">
        <v>267</v>
      </c>
      <c r="C157" s="721" t="s">
        <v>779</v>
      </c>
      <c r="D157" s="65" t="s">
        <v>794</v>
      </c>
      <c r="E157" s="110" t="s">
        <v>124</v>
      </c>
      <c r="F157" s="229">
        <f>ELÉTRICO.8!C97</f>
        <v>7</v>
      </c>
      <c r="G157" s="853">
        <v>522.75</v>
      </c>
      <c r="H157" s="709">
        <f t="shared" si="19"/>
        <v>402.51749999999998</v>
      </c>
      <c r="I157" s="710">
        <f t="shared" si="22"/>
        <v>522.3446611299031</v>
      </c>
      <c r="J157" s="533">
        <f t="shared" si="23"/>
        <v>3656.4126279093216</v>
      </c>
      <c r="K157" s="718"/>
      <c r="P157" s="797">
        <f t="shared" si="21"/>
        <v>2817.6224999999999</v>
      </c>
    </row>
    <row r="158" spans="1:16" ht="22.5" customHeight="1" x14ac:dyDescent="0.2">
      <c r="A158" s="63" t="s">
        <v>1035</v>
      </c>
      <c r="B158" s="104" t="s">
        <v>267</v>
      </c>
      <c r="C158" s="721" t="s">
        <v>780</v>
      </c>
      <c r="D158" s="65" t="s">
        <v>795</v>
      </c>
      <c r="E158" s="110" t="s">
        <v>124</v>
      </c>
      <c r="F158" s="229">
        <f>ELÉTRICO.8!C102</f>
        <v>1</v>
      </c>
      <c r="G158" s="853">
        <v>2923.42</v>
      </c>
      <c r="H158" s="709">
        <f t="shared" si="19"/>
        <v>2251.0334000000003</v>
      </c>
      <c r="I158" s="710">
        <f t="shared" si="22"/>
        <v>2921.1531884081905</v>
      </c>
      <c r="J158" s="533">
        <f t="shared" si="23"/>
        <v>2921.1531884081905</v>
      </c>
      <c r="K158" s="718"/>
      <c r="P158" s="797">
        <f t="shared" si="21"/>
        <v>2251.0334000000003</v>
      </c>
    </row>
    <row r="159" spans="1:16" ht="36" customHeight="1" x14ac:dyDescent="0.2">
      <c r="A159" s="63" t="s">
        <v>1036</v>
      </c>
      <c r="B159" s="104" t="s">
        <v>12</v>
      </c>
      <c r="C159" s="721" t="s">
        <v>536</v>
      </c>
      <c r="D159" s="65" t="s">
        <v>796</v>
      </c>
      <c r="E159" s="110" t="s">
        <v>124</v>
      </c>
      <c r="F159" s="229">
        <f>ELÉTRICO.8!C107</f>
        <v>3</v>
      </c>
      <c r="G159" s="853">
        <v>51.54</v>
      </c>
      <c r="H159" s="709">
        <f t="shared" si="19"/>
        <v>39.6858</v>
      </c>
      <c r="I159" s="710">
        <f t="shared" si="22"/>
        <v>51.500036029909531</v>
      </c>
      <c r="J159" s="533">
        <f t="shared" si="23"/>
        <v>154.5001080897286</v>
      </c>
      <c r="K159" s="718"/>
      <c r="P159" s="797">
        <f t="shared" si="21"/>
        <v>119.0574</v>
      </c>
    </row>
    <row r="160" spans="1:16" ht="36.75" customHeight="1" x14ac:dyDescent="0.2">
      <c r="A160" s="63" t="s">
        <v>1037</v>
      </c>
      <c r="B160" s="104" t="s">
        <v>12</v>
      </c>
      <c r="C160" s="721" t="s">
        <v>534</v>
      </c>
      <c r="D160" s="65" t="s">
        <v>797</v>
      </c>
      <c r="E160" s="70" t="s">
        <v>124</v>
      </c>
      <c r="F160" s="229">
        <f>ELÉTRICO.8!C112</f>
        <v>3</v>
      </c>
      <c r="G160" s="853">
        <v>98.31</v>
      </c>
      <c r="H160" s="709">
        <f t="shared" si="19"/>
        <v>75.698700000000002</v>
      </c>
      <c r="I160" s="710">
        <f t="shared" si="22"/>
        <v>98.233770704315219</v>
      </c>
      <c r="J160" s="533">
        <f t="shared" si="23"/>
        <v>294.70131211294563</v>
      </c>
      <c r="K160" s="718"/>
      <c r="P160" s="797">
        <f t="shared" si="21"/>
        <v>227.09610000000001</v>
      </c>
    </row>
    <row r="161" spans="1:16" ht="28.5" x14ac:dyDescent="0.2">
      <c r="A161" s="63" t="s">
        <v>1038</v>
      </c>
      <c r="B161" s="104" t="s">
        <v>12</v>
      </c>
      <c r="C161" s="721" t="s">
        <v>1080</v>
      </c>
      <c r="D161" s="65" t="s">
        <v>798</v>
      </c>
      <c r="E161" s="69" t="s">
        <v>52</v>
      </c>
      <c r="F161" s="229">
        <f>ELÉTRICO.8!C117</f>
        <v>12</v>
      </c>
      <c r="G161" s="853">
        <v>66.23</v>
      </c>
      <c r="H161" s="709">
        <f t="shared" si="19"/>
        <v>50.997100000000003</v>
      </c>
      <c r="I161" s="710">
        <f t="shared" si="22"/>
        <v>66.178645445496869</v>
      </c>
      <c r="J161" s="533">
        <f t="shared" si="23"/>
        <v>794.14374534596243</v>
      </c>
      <c r="K161" s="718"/>
      <c r="P161" s="797">
        <f t="shared" si="21"/>
        <v>611.9652000000001</v>
      </c>
    </row>
    <row r="162" spans="1:16" ht="20.25" customHeight="1" x14ac:dyDescent="0.2">
      <c r="A162" s="372">
        <v>9</v>
      </c>
      <c r="B162" s="774"/>
      <c r="C162" s="775"/>
      <c r="D162" s="390" t="s">
        <v>366</v>
      </c>
      <c r="E162" s="372"/>
      <c r="F162" s="391"/>
      <c r="G162" s="854"/>
      <c r="H162" s="776"/>
      <c r="I162" s="776"/>
      <c r="J162" s="384">
        <f>SUM(J163:J185)</f>
        <v>144767.45999999996</v>
      </c>
      <c r="K162" s="777">
        <f>J162/$J$189</f>
        <v>0.12034179332646415</v>
      </c>
      <c r="M162" s="706">
        <v>83185.11</v>
      </c>
      <c r="P162" s="797">
        <f t="shared" si="21"/>
        <v>0</v>
      </c>
    </row>
    <row r="163" spans="1:16" ht="22.5" customHeight="1" x14ac:dyDescent="0.2">
      <c r="A163" s="416" t="s">
        <v>135</v>
      </c>
      <c r="B163" s="414"/>
      <c r="C163" s="778"/>
      <c r="D163" s="417" t="s">
        <v>105</v>
      </c>
      <c r="E163" s="415"/>
      <c r="F163" s="407"/>
      <c r="G163" s="855"/>
      <c r="H163" s="728"/>
      <c r="I163" s="728"/>
      <c r="J163" s="779"/>
      <c r="K163" s="780"/>
      <c r="P163" s="797">
        <f t="shared" si="21"/>
        <v>0</v>
      </c>
    </row>
    <row r="164" spans="1:16" ht="36" customHeight="1" x14ac:dyDescent="0.2">
      <c r="A164" s="63" t="s">
        <v>929</v>
      </c>
      <c r="B164" s="124" t="s">
        <v>12</v>
      </c>
      <c r="C164" s="720">
        <v>96522</v>
      </c>
      <c r="D164" s="127" t="s">
        <v>368</v>
      </c>
      <c r="E164" s="124" t="s">
        <v>56</v>
      </c>
      <c r="F164" s="229">
        <f>PORT.9!C29</f>
        <v>13.86</v>
      </c>
      <c r="G164" s="856">
        <v>121.18</v>
      </c>
      <c r="H164" s="709">
        <f t="shared" ref="H164:H169" si="24">G164*$M$8+G164</f>
        <v>93.308600000000013</v>
      </c>
      <c r="I164" s="710">
        <f t="shared" si="22"/>
        <v>121.0860373710601</v>
      </c>
      <c r="J164" s="311">
        <f t="shared" ref="J164:J169" si="25">ROUND((F164*I164),2)</f>
        <v>1678.25</v>
      </c>
      <c r="K164" s="781"/>
      <c r="P164" s="797">
        <f t="shared" si="21"/>
        <v>1293.257196</v>
      </c>
    </row>
    <row r="165" spans="1:16" ht="48.75" customHeight="1" x14ac:dyDescent="0.2">
      <c r="A165" s="63" t="s">
        <v>930</v>
      </c>
      <c r="B165" s="104" t="s">
        <v>12</v>
      </c>
      <c r="C165" s="64" t="s">
        <v>367</v>
      </c>
      <c r="D165" s="126" t="s">
        <v>369</v>
      </c>
      <c r="E165" s="66" t="s">
        <v>68</v>
      </c>
      <c r="F165" s="229">
        <f>PORT.9!C40</f>
        <v>8.5</v>
      </c>
      <c r="G165" s="857">
        <v>17.96</v>
      </c>
      <c r="H165" s="709">
        <f t="shared" si="24"/>
        <v>13.8292</v>
      </c>
      <c r="I165" s="710">
        <f t="shared" si="22"/>
        <v>17.946073866844685</v>
      </c>
      <c r="J165" s="311">
        <f t="shared" si="25"/>
        <v>152.54</v>
      </c>
      <c r="K165" s="803"/>
      <c r="P165" s="797">
        <f t="shared" si="21"/>
        <v>117.54820000000001</v>
      </c>
    </row>
    <row r="166" spans="1:16" ht="48" customHeight="1" x14ac:dyDescent="0.2">
      <c r="A166" s="63" t="s">
        <v>931</v>
      </c>
      <c r="B166" s="104" t="s">
        <v>12</v>
      </c>
      <c r="C166" s="64">
        <v>96534</v>
      </c>
      <c r="D166" s="126" t="s">
        <v>370</v>
      </c>
      <c r="E166" s="66" t="s">
        <v>68</v>
      </c>
      <c r="F166" s="229">
        <f>PORT.9!C100</f>
        <v>65.900000000000006</v>
      </c>
      <c r="G166" s="858">
        <v>74.55</v>
      </c>
      <c r="H166" s="709">
        <f t="shared" si="24"/>
        <v>57.403499999999994</v>
      </c>
      <c r="I166" s="710">
        <f t="shared" si="22"/>
        <v>74.492194141050732</v>
      </c>
      <c r="J166" s="311">
        <f t="shared" si="25"/>
        <v>4909.04</v>
      </c>
      <c r="K166" s="781"/>
      <c r="P166" s="797">
        <f t="shared" si="21"/>
        <v>3782.8906499999998</v>
      </c>
    </row>
    <row r="167" spans="1:16" ht="36.75" customHeight="1" x14ac:dyDescent="0.2">
      <c r="A167" s="63" t="s">
        <v>932</v>
      </c>
      <c r="B167" s="735" t="s">
        <v>12</v>
      </c>
      <c r="C167" s="713">
        <v>96546</v>
      </c>
      <c r="D167" s="123" t="s">
        <v>371</v>
      </c>
      <c r="E167" s="68" t="s">
        <v>67</v>
      </c>
      <c r="F167" s="230">
        <f>PORT.9!C133</f>
        <v>589.85</v>
      </c>
      <c r="G167" s="853">
        <v>13.05</v>
      </c>
      <c r="H167" s="709">
        <f t="shared" si="24"/>
        <v>10.048500000000001</v>
      </c>
      <c r="I167" s="710">
        <f t="shared" si="22"/>
        <v>13.039881066944497</v>
      </c>
      <c r="J167" s="312">
        <f t="shared" si="25"/>
        <v>7691.57</v>
      </c>
      <c r="K167" s="781"/>
      <c r="P167" s="797">
        <f t="shared" si="21"/>
        <v>5927.1077250000008</v>
      </c>
    </row>
    <row r="168" spans="1:16" ht="48" customHeight="1" x14ac:dyDescent="0.2">
      <c r="A168" s="63" t="s">
        <v>1039</v>
      </c>
      <c r="B168" s="104" t="s">
        <v>12</v>
      </c>
      <c r="C168" s="64" t="s">
        <v>477</v>
      </c>
      <c r="D168" s="126" t="s">
        <v>478</v>
      </c>
      <c r="E168" s="66" t="s">
        <v>56</v>
      </c>
      <c r="F168" s="229">
        <f>PORT.9!C168</f>
        <v>12.8</v>
      </c>
      <c r="G168" s="858">
        <v>482.75</v>
      </c>
      <c r="H168" s="709">
        <f t="shared" si="24"/>
        <v>371.71749999999997</v>
      </c>
      <c r="I168" s="710">
        <f t="shared" si="22"/>
        <v>482.37567701666325</v>
      </c>
      <c r="J168" s="311">
        <f t="shared" si="25"/>
        <v>6174.41</v>
      </c>
      <c r="K168" s="781"/>
      <c r="P168" s="797">
        <f t="shared" si="21"/>
        <v>4757.9839999999995</v>
      </c>
    </row>
    <row r="169" spans="1:16" ht="23.25" customHeight="1" x14ac:dyDescent="0.2">
      <c r="A169" s="63" t="s">
        <v>1040</v>
      </c>
      <c r="B169" s="735" t="s">
        <v>12</v>
      </c>
      <c r="C169" s="713">
        <v>96995</v>
      </c>
      <c r="D169" s="123" t="s">
        <v>372</v>
      </c>
      <c r="E169" s="68" t="s">
        <v>56</v>
      </c>
      <c r="F169" s="230">
        <f>PORT.9!C179</f>
        <v>1.06</v>
      </c>
      <c r="G169" s="859">
        <v>40.99</v>
      </c>
      <c r="H169" s="709">
        <f t="shared" si="24"/>
        <v>31.5623</v>
      </c>
      <c r="I169" s="710">
        <f t="shared" si="22"/>
        <v>40.958216470042522</v>
      </c>
      <c r="J169" s="313">
        <f t="shared" si="25"/>
        <v>43.42</v>
      </c>
      <c r="K169" s="781"/>
      <c r="P169" s="797">
        <f t="shared" si="21"/>
        <v>33.456037999999999</v>
      </c>
    </row>
    <row r="170" spans="1:16" ht="24" customHeight="1" x14ac:dyDescent="0.2">
      <c r="A170" s="416" t="s">
        <v>582</v>
      </c>
      <c r="B170" s="725"/>
      <c r="C170" s="778"/>
      <c r="D170" s="418" t="s">
        <v>373</v>
      </c>
      <c r="E170" s="418"/>
      <c r="F170" s="419"/>
      <c r="G170" s="860"/>
      <c r="H170" s="416"/>
      <c r="I170" s="416"/>
      <c r="J170" s="420"/>
      <c r="K170" s="782"/>
      <c r="P170" s="797">
        <f t="shared" si="21"/>
        <v>0</v>
      </c>
    </row>
    <row r="171" spans="1:16" ht="34.5" customHeight="1" x14ac:dyDescent="0.2">
      <c r="A171" s="783" t="s">
        <v>933</v>
      </c>
      <c r="B171" s="1081" t="str">
        <f>COMPOSIÇÕES!A309</f>
        <v>COMPOSIÇÃO 29</v>
      </c>
      <c r="C171" s="1082"/>
      <c r="D171" s="127" t="str">
        <f>COMPOSIÇÕES!A310</f>
        <v>TUBO ACO GALVANIZADO COM COSTURA, CLASSE MEDIA, DN 5", E = *5,40* MM, PESO *17,80* KG/M (NBR 5580)</v>
      </c>
      <c r="E171" s="124" t="s">
        <v>52</v>
      </c>
      <c r="F171" s="228">
        <f>PORT.9!C192</f>
        <v>238.24</v>
      </c>
      <c r="G171" s="861">
        <f>COMPOSIÇÕES!G315</f>
        <v>0</v>
      </c>
      <c r="H171" s="130">
        <f>COMPOSIÇÕES!H315</f>
        <v>271.56</v>
      </c>
      <c r="I171" s="710">
        <f t="shared" si="22"/>
        <v>352.40186122699384</v>
      </c>
      <c r="J171" s="311">
        <f>ROUND((F171*I171),2)</f>
        <v>83956.22</v>
      </c>
      <c r="K171" s="781"/>
      <c r="P171" s="797">
        <f t="shared" si="21"/>
        <v>64696.454400000002</v>
      </c>
    </row>
    <row r="172" spans="1:16" ht="42.75" x14ac:dyDescent="0.2">
      <c r="A172" s="783" t="s">
        <v>1041</v>
      </c>
      <c r="B172" s="1081" t="str">
        <f>COMPOSIÇÕES!A317</f>
        <v>COMPOSIÇÃO 30</v>
      </c>
      <c r="C172" s="1082"/>
      <c r="D172" s="131" t="str">
        <f>COMPOSIÇÕES!A318</f>
        <v>FLANGE EM CHAPA DE AÇO GALVANIZADO DE BITOLA GSG 14, E = 1,95 MM (15,60 KG/M2), COM CHUMBADOR DE AÇO 1" X 60 MM, INCLUINDO PORCA E ARRUELA</v>
      </c>
      <c r="E172" s="70" t="s">
        <v>124</v>
      </c>
      <c r="F172" s="231">
        <f>PORT.9!C200</f>
        <v>16</v>
      </c>
      <c r="G172" s="862">
        <f>COMPOSIÇÕES!G325</f>
        <v>0</v>
      </c>
      <c r="H172" s="108">
        <f>COMPOSIÇÕES!H325</f>
        <v>1008.43</v>
      </c>
      <c r="I172" s="710">
        <f t="shared" si="22"/>
        <v>1308.6338522504691</v>
      </c>
      <c r="J172" s="311">
        <f>ROUND((F172*I172),2)</f>
        <v>20938.14</v>
      </c>
      <c r="K172" s="781"/>
      <c r="P172" s="797">
        <f t="shared" si="21"/>
        <v>16134.88</v>
      </c>
    </row>
    <row r="173" spans="1:16" ht="21.75" customHeight="1" x14ac:dyDescent="0.2">
      <c r="A173" s="784" t="s">
        <v>137</v>
      </c>
      <c r="B173" s="785"/>
      <c r="C173" s="786"/>
      <c r="D173" s="418" t="s">
        <v>377</v>
      </c>
      <c r="E173" s="415"/>
      <c r="F173" s="407"/>
      <c r="G173" s="855"/>
      <c r="H173" s="728"/>
      <c r="I173" s="728"/>
      <c r="J173" s="421"/>
      <c r="K173" s="782"/>
      <c r="P173" s="797">
        <f t="shared" si="21"/>
        <v>0</v>
      </c>
    </row>
    <row r="174" spans="1:16" ht="33" customHeight="1" x14ac:dyDescent="0.2">
      <c r="A174" s="63" t="s">
        <v>934</v>
      </c>
      <c r="B174" s="104" t="s">
        <v>12</v>
      </c>
      <c r="C174" s="64" t="s">
        <v>281</v>
      </c>
      <c r="D174" s="127" t="s">
        <v>88</v>
      </c>
      <c r="E174" s="104" t="s">
        <v>68</v>
      </c>
      <c r="F174" s="232">
        <f>PORT.9!C213</f>
        <v>3.9</v>
      </c>
      <c r="G174" s="859">
        <v>40.450000000000003</v>
      </c>
      <c r="H174" s="709">
        <f>G174*$M$8+G174</f>
        <v>31.146500000000003</v>
      </c>
      <c r="I174" s="710">
        <f t="shared" si="22"/>
        <v>40.418635184513789</v>
      </c>
      <c r="J174" s="311">
        <f t="shared" ref="J174:J185" si="26">ROUND((F174*I174),2)</f>
        <v>157.63</v>
      </c>
      <c r="K174" s="781"/>
      <c r="P174" s="797">
        <f t="shared" si="21"/>
        <v>121.47135000000002</v>
      </c>
    </row>
    <row r="175" spans="1:16" ht="57" x14ac:dyDescent="0.2">
      <c r="A175" s="63" t="s">
        <v>935</v>
      </c>
      <c r="B175" s="104" t="s">
        <v>12</v>
      </c>
      <c r="C175" s="64">
        <v>87893</v>
      </c>
      <c r="D175" s="131" t="s">
        <v>376</v>
      </c>
      <c r="E175" s="104" t="s">
        <v>68</v>
      </c>
      <c r="F175" s="132">
        <f>PORT.9!C269</f>
        <v>20.58</v>
      </c>
      <c r="G175" s="862">
        <v>6.44</v>
      </c>
      <c r="H175" s="709">
        <f>G175*$M$8+G175</f>
        <v>4.9588000000000001</v>
      </c>
      <c r="I175" s="710">
        <f t="shared" si="22"/>
        <v>6.4350064422316144</v>
      </c>
      <c r="J175" s="311">
        <f t="shared" si="26"/>
        <v>132.43</v>
      </c>
      <c r="K175" s="781"/>
      <c r="P175" s="797">
        <f t="shared" si="21"/>
        <v>102.052104</v>
      </c>
    </row>
    <row r="176" spans="1:16" ht="64.5" customHeight="1" x14ac:dyDescent="0.2">
      <c r="A176" s="63" t="s">
        <v>1042</v>
      </c>
      <c r="B176" s="104" t="s">
        <v>12</v>
      </c>
      <c r="C176" s="66">
        <v>87792</v>
      </c>
      <c r="D176" s="131" t="s">
        <v>288</v>
      </c>
      <c r="E176" s="104" t="s">
        <v>68</v>
      </c>
      <c r="F176" s="132">
        <f>PORT.9!C325</f>
        <v>20.58</v>
      </c>
      <c r="G176" s="853">
        <v>39.369999999999997</v>
      </c>
      <c r="H176" s="709">
        <f>G176*$M$8+G176</f>
        <v>30.314899999999998</v>
      </c>
      <c r="I176" s="710">
        <f t="shared" si="22"/>
        <v>39.339472613456309</v>
      </c>
      <c r="J176" s="311">
        <f t="shared" si="26"/>
        <v>809.61</v>
      </c>
      <c r="K176" s="781"/>
      <c r="P176" s="797">
        <f t="shared" si="21"/>
        <v>623.88064199999985</v>
      </c>
    </row>
    <row r="177" spans="1:16" ht="26.25" customHeight="1" x14ac:dyDescent="0.2">
      <c r="A177" s="63" t="s">
        <v>1043</v>
      </c>
      <c r="B177" s="104" t="s">
        <v>12</v>
      </c>
      <c r="C177" s="66" t="s">
        <v>475</v>
      </c>
      <c r="D177" s="131" t="s">
        <v>148</v>
      </c>
      <c r="E177" s="104" t="s">
        <v>68</v>
      </c>
      <c r="F177" s="132">
        <f>PORT.9!C381</f>
        <v>20.58</v>
      </c>
      <c r="G177" s="853">
        <v>16.48</v>
      </c>
      <c r="H177" s="709">
        <f>G177*$M$8+G177</f>
        <v>12.6896</v>
      </c>
      <c r="I177" s="710">
        <f t="shared" si="22"/>
        <v>16.467221454654812</v>
      </c>
      <c r="J177" s="311">
        <f t="shared" si="26"/>
        <v>338.9</v>
      </c>
      <c r="K177" s="781"/>
      <c r="P177" s="797">
        <f t="shared" si="21"/>
        <v>261.15196800000001</v>
      </c>
    </row>
    <row r="178" spans="1:16" ht="15" x14ac:dyDescent="0.2">
      <c r="A178" s="416" t="s">
        <v>583</v>
      </c>
      <c r="B178" s="725"/>
      <c r="C178" s="778"/>
      <c r="D178" s="417" t="s">
        <v>378</v>
      </c>
      <c r="E178" s="415"/>
      <c r="F178" s="407"/>
      <c r="G178" s="855"/>
      <c r="H178" s="728"/>
      <c r="I178" s="728"/>
      <c r="J178" s="728"/>
      <c r="K178" s="782"/>
      <c r="P178" s="797">
        <f t="shared" si="21"/>
        <v>0</v>
      </c>
    </row>
    <row r="179" spans="1:16" ht="50.25" customHeight="1" x14ac:dyDescent="0.2">
      <c r="A179" s="66" t="s">
        <v>936</v>
      </c>
      <c r="B179" s="104" t="s">
        <v>12</v>
      </c>
      <c r="C179" s="66" t="s">
        <v>471</v>
      </c>
      <c r="D179" s="114" t="s">
        <v>472</v>
      </c>
      <c r="E179" s="104" t="s">
        <v>68</v>
      </c>
      <c r="F179" s="229">
        <f>PORT.9!C395</f>
        <v>95.01</v>
      </c>
      <c r="G179" s="853">
        <v>18.989999999999998</v>
      </c>
      <c r="H179" s="709">
        <f>G179*$M$8+G179</f>
        <v>14.622299999999999</v>
      </c>
      <c r="I179" s="710">
        <f t="shared" si="22"/>
        <v>18.97527520776061</v>
      </c>
      <c r="J179" s="311">
        <f t="shared" si="26"/>
        <v>1802.84</v>
      </c>
      <c r="K179" s="781"/>
      <c r="P179" s="797">
        <f t="shared" si="21"/>
        <v>1389.264723</v>
      </c>
    </row>
    <row r="180" spans="1:16" ht="63.75" customHeight="1" x14ac:dyDescent="0.2">
      <c r="A180" s="66" t="s">
        <v>937</v>
      </c>
      <c r="B180" s="104" t="s">
        <v>12</v>
      </c>
      <c r="C180" s="66" t="s">
        <v>473</v>
      </c>
      <c r="D180" s="114" t="s">
        <v>474</v>
      </c>
      <c r="E180" s="104" t="s">
        <v>68</v>
      </c>
      <c r="F180" s="229">
        <f>PORT.9!C395</f>
        <v>95.01</v>
      </c>
      <c r="G180" s="853">
        <v>37.08</v>
      </c>
      <c r="H180" s="709">
        <f>G180*$M$8+G180</f>
        <v>28.551600000000001</v>
      </c>
      <c r="I180" s="710">
        <f t="shared" si="22"/>
        <v>37.051248272973332</v>
      </c>
      <c r="J180" s="311">
        <f t="shared" ref="J180" si="27">ROUND((F180*I180),2)</f>
        <v>3520.24</v>
      </c>
      <c r="K180" s="781"/>
      <c r="P180" s="797">
        <f t="shared" si="21"/>
        <v>2712.6875160000004</v>
      </c>
    </row>
    <row r="181" spans="1:16" ht="20.25" customHeight="1" x14ac:dyDescent="0.2">
      <c r="A181" s="416" t="s">
        <v>177</v>
      </c>
      <c r="B181" s="725"/>
      <c r="C181" s="778"/>
      <c r="D181" s="417" t="s">
        <v>382</v>
      </c>
      <c r="E181" s="415"/>
      <c r="F181" s="407"/>
      <c r="G181" s="855"/>
      <c r="H181" s="728"/>
      <c r="I181" s="728"/>
      <c r="J181" s="728"/>
      <c r="K181" s="782"/>
      <c r="P181" s="797">
        <f t="shared" si="21"/>
        <v>0</v>
      </c>
    </row>
    <row r="182" spans="1:16" ht="35.25" customHeight="1" x14ac:dyDescent="0.2">
      <c r="A182" s="63" t="s">
        <v>938</v>
      </c>
      <c r="B182" s="1081" t="str">
        <f>COMPOSIÇÕES!A327</f>
        <v>COMPOSIÇÃO 31</v>
      </c>
      <c r="C182" s="1082"/>
      <c r="D182" s="133" t="str">
        <f>COMPOSIÇÕES!A328</f>
        <v>LUMINARIA LED REFLETOR RETANGULAR BIVOLT, LUZ BRANCA, 10 W. INCLUINDO RASGO NO TUBO</v>
      </c>
      <c r="E182" s="66" t="s">
        <v>124</v>
      </c>
      <c r="F182" s="233">
        <f>PORT.9!C408</f>
        <v>64</v>
      </c>
      <c r="G182" s="852">
        <f>COMPOSIÇÕES!G336</f>
        <v>0</v>
      </c>
      <c r="H182" s="772">
        <f>COMPOSIÇÕES!H336</f>
        <v>53.93</v>
      </c>
      <c r="I182" s="710">
        <f t="shared" si="22"/>
        <v>69.984653026851447</v>
      </c>
      <c r="J182" s="311">
        <f t="shared" si="26"/>
        <v>4479.0200000000004</v>
      </c>
      <c r="K182" s="781"/>
      <c r="P182" s="797">
        <f t="shared" si="21"/>
        <v>3451.52</v>
      </c>
    </row>
    <row r="183" spans="1:16" ht="48.75" customHeight="1" x14ac:dyDescent="0.2">
      <c r="A183" s="63" t="s">
        <v>939</v>
      </c>
      <c r="B183" s="104" t="s">
        <v>12</v>
      </c>
      <c r="C183" s="64" t="s">
        <v>380</v>
      </c>
      <c r="D183" s="131" t="s">
        <v>100</v>
      </c>
      <c r="E183" s="104" t="s">
        <v>52</v>
      </c>
      <c r="F183" s="229">
        <f>PORT.9!C416</f>
        <v>1330</v>
      </c>
      <c r="G183" s="853">
        <v>4.17</v>
      </c>
      <c r="H183" s="709">
        <f>G183*$M$8+G183</f>
        <v>3.2108999999999996</v>
      </c>
      <c r="I183" s="710">
        <f t="shared" si="22"/>
        <v>4.1667665938052529</v>
      </c>
      <c r="J183" s="312">
        <f t="shared" si="26"/>
        <v>5541.8</v>
      </c>
      <c r="K183" s="781"/>
      <c r="P183" s="797">
        <f t="shared" si="21"/>
        <v>4270.4969999999994</v>
      </c>
    </row>
    <row r="184" spans="1:16" ht="48.75" customHeight="1" x14ac:dyDescent="0.2">
      <c r="A184" s="63" t="s">
        <v>1044</v>
      </c>
      <c r="B184" s="104" t="s">
        <v>12</v>
      </c>
      <c r="C184" s="64">
        <v>91834</v>
      </c>
      <c r="D184" s="65" t="s">
        <v>381</v>
      </c>
      <c r="E184" s="66" t="s">
        <v>52</v>
      </c>
      <c r="F184" s="229">
        <f>PORT.9!C424</f>
        <v>267</v>
      </c>
      <c r="G184" s="853">
        <v>8.34</v>
      </c>
      <c r="H184" s="709">
        <f>G184*$M$8+G184</f>
        <v>6.4217999999999993</v>
      </c>
      <c r="I184" s="710">
        <f t="shared" si="22"/>
        <v>8.3335331876105059</v>
      </c>
      <c r="J184" s="312">
        <f t="shared" si="26"/>
        <v>2225.0500000000002</v>
      </c>
      <c r="K184" s="781"/>
      <c r="P184" s="797">
        <f t="shared" si="21"/>
        <v>1714.6205999999997</v>
      </c>
    </row>
    <row r="185" spans="1:16" ht="34.5" customHeight="1" x14ac:dyDescent="0.2">
      <c r="A185" s="63" t="s">
        <v>1045</v>
      </c>
      <c r="B185" s="104" t="s">
        <v>12</v>
      </c>
      <c r="C185" s="104" t="s">
        <v>469</v>
      </c>
      <c r="D185" s="114" t="s">
        <v>470</v>
      </c>
      <c r="E185" s="66" t="s">
        <v>124</v>
      </c>
      <c r="F185" s="229">
        <f>PORT.9!C432</f>
        <v>4</v>
      </c>
      <c r="G185" s="853">
        <v>54.13</v>
      </c>
      <c r="H185" s="709">
        <f>G185*$M$8+G185</f>
        <v>41.680100000000003</v>
      </c>
      <c r="I185" s="710">
        <f t="shared" si="22"/>
        <v>54.08802775124181</v>
      </c>
      <c r="J185" s="312">
        <f t="shared" si="26"/>
        <v>216.35</v>
      </c>
      <c r="K185" s="787"/>
      <c r="P185" s="797">
        <f t="shared" si="21"/>
        <v>166.72040000000001</v>
      </c>
    </row>
    <row r="186" spans="1:16" ht="20.25" customHeight="1" x14ac:dyDescent="0.25">
      <c r="A186" s="695">
        <v>10</v>
      </c>
      <c r="B186" s="379"/>
      <c r="C186" s="695"/>
      <c r="D186" s="380" t="s">
        <v>6</v>
      </c>
      <c r="E186" s="695"/>
      <c r="F186" s="381"/>
      <c r="G186" s="863"/>
      <c r="H186" s="384"/>
      <c r="I186" s="384"/>
      <c r="J186" s="384">
        <f>SUM(J187:J188)</f>
        <v>17751.509999999998</v>
      </c>
      <c r="K186" s="704">
        <f>J186/$J$189</f>
        <v>1.4756413821536012E-2</v>
      </c>
      <c r="M186" s="706">
        <v>20632.705299999998</v>
      </c>
      <c r="N186" s="705" t="s">
        <v>97</v>
      </c>
      <c r="P186" s="797">
        <f t="shared" si="21"/>
        <v>0</v>
      </c>
    </row>
    <row r="187" spans="1:16" ht="48.75" customHeight="1" x14ac:dyDescent="0.2">
      <c r="A187" s="788" t="s">
        <v>756</v>
      </c>
      <c r="B187" s="1078" t="str">
        <f>COMPOSIÇÕES!A353</f>
        <v>COMPOSIÇÃO 32</v>
      </c>
      <c r="C187" s="1079"/>
      <c r="D187" s="689" t="str">
        <f>COMPOSIÇÕES!A354</f>
        <v>PLACA DE INAUGURAÇÃO EM AÇO INOX/LETRAS BX. RELEVO (40 X 30 CM) FIXADA NA PEÇA EM CONCRETO, INCLUISO FUNDAÇÃO. FORNECIMENTO E INSTALAÇÃO.</v>
      </c>
      <c r="E187" s="104" t="s">
        <v>124</v>
      </c>
      <c r="F187" s="323">
        <f>'SERVIÇO FINAL.10'!C18</f>
        <v>1</v>
      </c>
      <c r="G187" s="864">
        <f>COMPOSIÇÕES!G361</f>
        <v>0</v>
      </c>
      <c r="H187" s="135">
        <f>COMPOSIÇÕES!H361</f>
        <v>1153.03</v>
      </c>
      <c r="I187" s="710">
        <f t="shared" si="22"/>
        <v>1496.2804464963938</v>
      </c>
      <c r="J187" s="711">
        <f>ROUND(I187*F187,2)</f>
        <v>1496.28</v>
      </c>
      <c r="K187" s="789"/>
      <c r="P187" s="797">
        <f t="shared" si="21"/>
        <v>1153.03</v>
      </c>
    </row>
    <row r="188" spans="1:16" ht="31.5" customHeight="1" x14ac:dyDescent="0.2">
      <c r="A188" s="788" t="s">
        <v>1145</v>
      </c>
      <c r="B188" s="63" t="s">
        <v>12</v>
      </c>
      <c r="C188" s="134" t="s">
        <v>1103</v>
      </c>
      <c r="D188" s="689" t="s">
        <v>1104</v>
      </c>
      <c r="E188" s="104" t="s">
        <v>68</v>
      </c>
      <c r="F188" s="323">
        <f>'SERVIÇO FINAL.10'!C30</f>
        <v>5789.27</v>
      </c>
      <c r="G188" s="864">
        <v>2.81</v>
      </c>
      <c r="H188" s="709">
        <f>G188*$M$8+G188</f>
        <v>2.1637</v>
      </c>
      <c r="I188" s="710">
        <f t="shared" si="22"/>
        <v>2.8078211339550982</v>
      </c>
      <c r="J188" s="711">
        <f>ROUND(I188*F188,2)</f>
        <v>16255.23</v>
      </c>
      <c r="K188" s="789"/>
      <c r="M188" s="804">
        <v>-0.09</v>
      </c>
      <c r="P188" s="797">
        <f t="shared" si="21"/>
        <v>12526.243499</v>
      </c>
    </row>
    <row r="189" spans="1:16" ht="27" customHeight="1" thickBot="1" x14ac:dyDescent="0.3">
      <c r="A189" s="392"/>
      <c r="B189" s="393"/>
      <c r="C189" s="394"/>
      <c r="D189" s="1084" t="s">
        <v>1153</v>
      </c>
      <c r="E189" s="1084"/>
      <c r="F189" s="1084"/>
      <c r="G189" s="1084"/>
      <c r="H189" s="1084"/>
      <c r="I189" s="395"/>
      <c r="J189" s="790">
        <f>SUM(J186+J162+J142+J80+J54+J41+J25+J21+J16+J14)</f>
        <v>1202969.1098858207</v>
      </c>
      <c r="K189" s="791">
        <f>SUM(K14:K188)</f>
        <v>1</v>
      </c>
      <c r="M189" s="792">
        <f>J189*M188+J189</f>
        <v>1094701.8899960967</v>
      </c>
      <c r="P189" s="797">
        <f>SUM(P15:P188)</f>
        <v>927004.97990781942</v>
      </c>
    </row>
    <row r="190" spans="1:16" ht="32.25" customHeight="1" x14ac:dyDescent="0.25">
      <c r="A190" s="1083" t="s">
        <v>1158</v>
      </c>
      <c r="B190" s="1083"/>
      <c r="C190" s="1083"/>
      <c r="D190" s="1083"/>
      <c r="E190" s="1083"/>
      <c r="F190" s="1083"/>
      <c r="G190" s="1083"/>
      <c r="H190" s="1083"/>
      <c r="I190" s="1083"/>
      <c r="J190" s="1083"/>
      <c r="K190" s="1083"/>
      <c r="M190" s="797"/>
      <c r="P190" s="797">
        <f>P189*29.77%</f>
        <v>275969.38251855783</v>
      </c>
    </row>
    <row r="191" spans="1:16" ht="39.75" customHeight="1" x14ac:dyDescent="0.2">
      <c r="J191" s="796">
        <v>1540268.53</v>
      </c>
    </row>
    <row r="194" spans="10:11" x14ac:dyDescent="0.2">
      <c r="J194" s="796">
        <f>J191-J189</f>
        <v>337299.42011417937</v>
      </c>
      <c r="K194" s="793"/>
    </row>
  </sheetData>
  <mergeCells count="50">
    <mergeCell ref="B121:C121"/>
    <mergeCell ref="B120:C120"/>
    <mergeCell ref="B52:C52"/>
    <mergeCell ref="B40:C40"/>
    <mergeCell ref="A190:K190"/>
    <mergeCell ref="B27:C27"/>
    <mergeCell ref="B24:C24"/>
    <mergeCell ref="D189:H189"/>
    <mergeCell ref="B104:C104"/>
    <mergeCell ref="B182:C182"/>
    <mergeCell ref="B172:C172"/>
    <mergeCell ref="B171:C171"/>
    <mergeCell ref="B141:C141"/>
    <mergeCell ref="B140:C140"/>
    <mergeCell ref="B125:C125"/>
    <mergeCell ref="B123:C123"/>
    <mergeCell ref="B143:C143"/>
    <mergeCell ref="B122:C122"/>
    <mergeCell ref="B15:C15"/>
    <mergeCell ref="A11:K11"/>
    <mergeCell ref="B187:C187"/>
    <mergeCell ref="D29:F29"/>
    <mergeCell ref="B35:C35"/>
    <mergeCell ref="B33:C33"/>
    <mergeCell ref="B34:C34"/>
    <mergeCell ref="B53:C53"/>
    <mergeCell ref="B101:C101"/>
    <mergeCell ref="B100:C100"/>
    <mergeCell ref="B69:C69"/>
    <mergeCell ref="B70:C70"/>
    <mergeCell ref="B71:C71"/>
    <mergeCell ref="B72:C72"/>
    <mergeCell ref="B73:C73"/>
    <mergeCell ref="B44:C44"/>
    <mergeCell ref="A1:K1"/>
    <mergeCell ref="J4:K4"/>
    <mergeCell ref="B4:F4"/>
    <mergeCell ref="H4:I4"/>
    <mergeCell ref="B5:K5"/>
    <mergeCell ref="A2:K2"/>
    <mergeCell ref="A3:K3"/>
    <mergeCell ref="B6:K6"/>
    <mergeCell ref="B7:D7"/>
    <mergeCell ref="E7:F8"/>
    <mergeCell ref="E9:F9"/>
    <mergeCell ref="B9:D9"/>
    <mergeCell ref="H7:K7"/>
    <mergeCell ref="H8:K8"/>
    <mergeCell ref="B8:D8"/>
    <mergeCell ref="H9:K9"/>
  </mergeCells>
  <phoneticPr fontId="21" type="noConversion"/>
  <conditionalFormatting sqref="G164">
    <cfRule type="expression" dxfId="163" priority="273">
      <formula>AND($M167="",$M166="",$A164=2)</formula>
    </cfRule>
    <cfRule type="expression" dxfId="162" priority="274">
      <formula>AND($M167="",$M166="",$A164=5)</formula>
    </cfRule>
    <cfRule type="expression" dxfId="161" priority="275">
      <formula>AND($M167="",$M166="",$A164=8)</formula>
    </cfRule>
    <cfRule type="expression" dxfId="160" priority="276">
      <formula>AND($M167="",$M166="",$A164=11)</formula>
    </cfRule>
  </conditionalFormatting>
  <conditionalFormatting sqref="G165">
    <cfRule type="expression" dxfId="159" priority="353">
      <formula>AND(#REF!="",$M167="",$A165=2)</formula>
    </cfRule>
    <cfRule type="expression" dxfId="158" priority="354">
      <formula>AND(#REF!="",$M167="",$A165=5)</formula>
    </cfRule>
    <cfRule type="expression" dxfId="157" priority="355">
      <formula>AND(#REF!="",$M167="",$A165=8)</formula>
    </cfRule>
    <cfRule type="expression" dxfId="156" priority="356">
      <formula>AND(#REF!="",$M167="",$A165=11)</formula>
    </cfRule>
  </conditionalFormatting>
  <conditionalFormatting sqref="G166">
    <cfRule type="expression" dxfId="155" priority="357">
      <formula>AND($M170="",#REF!="",$A166=2)</formula>
    </cfRule>
    <cfRule type="expression" dxfId="154" priority="358">
      <formula>AND($M170="",#REF!="",$A166=5)</formula>
    </cfRule>
    <cfRule type="expression" dxfId="153" priority="359">
      <formula>AND($M170="",#REF!="",$A166=8)</formula>
    </cfRule>
    <cfRule type="expression" dxfId="152" priority="360">
      <formula>AND($M170="",#REF!="",$A166=11)</formula>
    </cfRule>
  </conditionalFormatting>
  <conditionalFormatting sqref="G168">
    <cfRule type="expression" dxfId="151" priority="361">
      <formula>AND($M172="",$M171="",$A168=2)</formula>
    </cfRule>
    <cfRule type="expression" dxfId="150" priority="362">
      <formula>AND($M172="",$M171="",$A168=5)</formula>
    </cfRule>
    <cfRule type="expression" dxfId="149" priority="363">
      <formula>AND($M172="",$M171="",$A168=8)</formula>
    </cfRule>
    <cfRule type="expression" dxfId="148" priority="364">
      <formula>AND($M172="",$M171="",$A168=11)</formula>
    </cfRule>
  </conditionalFormatting>
  <conditionalFormatting sqref="D172 G172:H172">
    <cfRule type="expression" dxfId="147" priority="373">
      <formula>AND($M174="",$M167="",$A172=2)</formula>
    </cfRule>
    <cfRule type="expression" dxfId="146" priority="374">
      <formula>AND($M174="",$M167="",$A172=5)</formula>
    </cfRule>
    <cfRule type="expression" dxfId="145" priority="375">
      <formula>AND($M174="",$M167="",$A172=8)</formula>
    </cfRule>
    <cfRule type="expression" dxfId="144" priority="376">
      <formula>AND($M174="",$M167="",$A172=11)</formula>
    </cfRule>
  </conditionalFormatting>
  <conditionalFormatting sqref="D176">
    <cfRule type="expression" dxfId="143" priority="377">
      <formula>AND(#REF!="",$M176="",$A176=2)</formula>
    </cfRule>
    <cfRule type="expression" dxfId="142" priority="378">
      <formula>AND(#REF!="",$M176="",$A176=5)</formula>
    </cfRule>
    <cfRule type="expression" dxfId="141" priority="379">
      <formula>AND(#REF!="",$M176="",$A176=8)</formula>
    </cfRule>
    <cfRule type="expression" dxfId="140" priority="380">
      <formula>AND(#REF!="",$M176="",$A176=11)</formula>
    </cfRule>
  </conditionalFormatting>
  <conditionalFormatting sqref="D177">
    <cfRule type="expression" dxfId="139" priority="381">
      <formula>AND($M178="",#REF!="",$A177=2)</formula>
    </cfRule>
    <cfRule type="expression" dxfId="138" priority="382">
      <formula>AND($M178="",#REF!="",$A177=5)</formula>
    </cfRule>
    <cfRule type="expression" dxfId="137" priority="383">
      <formula>AND($M178="",#REF!="",$A177=8)</formula>
    </cfRule>
    <cfRule type="expression" dxfId="136" priority="384">
      <formula>AND($M178="",#REF!="",$A177=11)</formula>
    </cfRule>
  </conditionalFormatting>
  <conditionalFormatting sqref="D175 G175">
    <cfRule type="expression" dxfId="135" priority="385">
      <formula>AND(#REF!="",#REF!="",$A175=2)</formula>
    </cfRule>
    <cfRule type="expression" dxfId="134" priority="386">
      <formula>AND(#REF!="",#REF!="",$A175=5)</formula>
    </cfRule>
    <cfRule type="expression" dxfId="133" priority="387">
      <formula>AND(#REF!="",#REF!="",$A175=8)</formula>
    </cfRule>
    <cfRule type="expression" dxfId="132" priority="388">
      <formula>AND(#REF!="",#REF!="",$A175=11)</formula>
    </cfRule>
  </conditionalFormatting>
  <conditionalFormatting sqref="D183">
    <cfRule type="expression" dxfId="131" priority="393">
      <formula>AND(#REF!="",#REF!="",$A183=2)</formula>
    </cfRule>
    <cfRule type="expression" dxfId="130" priority="394">
      <formula>AND(#REF!="",#REF!="",$A183=5)</formula>
    </cfRule>
    <cfRule type="expression" dxfId="129" priority="395">
      <formula>AND(#REF!="",#REF!="",$A183=8)</formula>
    </cfRule>
    <cfRule type="expression" dxfId="128" priority="396">
      <formula>AND(#REF!="",#REF!="",$A183=11)</formula>
    </cfRule>
  </conditionalFormatting>
  <pageMargins left="0.56000000000000005" right="0.23622047244094491" top="0.45" bottom="0.43" header="0.31496062992125984" footer="0.15"/>
  <pageSetup paperSize="9" scale="45" fitToHeight="0" orientation="portrait" r:id="rId1"/>
  <rowBreaks count="2" manualBreakCount="2">
    <brk id="50" max="10" man="1"/>
    <brk id="123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71"/>
  <sheetViews>
    <sheetView view="pageBreakPreview" topLeftCell="A2" zoomScale="70" zoomScaleNormal="112" zoomScaleSheetLayoutView="70" workbookViewId="0">
      <selection activeCell="P14" sqref="P14"/>
    </sheetView>
  </sheetViews>
  <sheetFormatPr defaultColWidth="9.140625" defaultRowHeight="14.25" x14ac:dyDescent="0.2"/>
  <cols>
    <col min="1" max="1" width="18" style="644" customWidth="1"/>
    <col min="2" max="2" width="13.140625" style="644" customWidth="1"/>
    <col min="3" max="3" width="66" style="644" customWidth="1"/>
    <col min="4" max="4" width="12.42578125" style="644" customWidth="1"/>
    <col min="5" max="5" width="12.85546875" style="644" customWidth="1"/>
    <col min="6" max="6" width="17.7109375" style="810" hidden="1" customWidth="1"/>
    <col min="7" max="7" width="17.7109375" style="644" customWidth="1"/>
    <col min="8" max="8" width="22.5703125" style="644" customWidth="1"/>
    <col min="9" max="11" width="9.140625" style="644"/>
    <col min="12" max="12" width="10.7109375" style="644" bestFit="1" customWidth="1"/>
    <col min="13" max="16384" width="9.140625" style="644"/>
  </cols>
  <sheetData>
    <row r="1" spans="1:13" customFormat="1" ht="121.5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</row>
    <row r="2" spans="1:13" customFormat="1" ht="21.75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</row>
    <row r="3" spans="1:13" customFormat="1" ht="20.2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</row>
    <row r="4" spans="1:13" ht="21" customHeight="1" x14ac:dyDescent="0.2">
      <c r="A4" s="367" t="s">
        <v>33</v>
      </c>
      <c r="B4" s="976" t="str">
        <f>ORÇAMENTO!B4</f>
        <v>PREFEITURA MUNICIPAL DE BRASIL NOVO/PA</v>
      </c>
      <c r="C4" s="977"/>
      <c r="D4" s="977"/>
      <c r="E4" s="978"/>
      <c r="F4" s="805" t="s">
        <v>859</v>
      </c>
      <c r="G4" s="422" t="s">
        <v>859</v>
      </c>
      <c r="H4" s="618" t="str">
        <f>ORÇAMENTO!J4</f>
        <v>BRASIL NOVO/PA</v>
      </c>
      <c r="I4" s="423"/>
      <c r="J4" s="423"/>
      <c r="K4" s="424"/>
    </row>
    <row r="5" spans="1:13" ht="21" customHeight="1" x14ac:dyDescent="0.2">
      <c r="A5" s="367" t="s">
        <v>860</v>
      </c>
      <c r="B5" s="1109" t="str">
        <f>ORÇAMENTO!B5</f>
        <v>CONSTRUÇÃO DE PRAÇA NO MUNICÍPIO DE BRASIL NOVO - PARÁ</v>
      </c>
      <c r="C5" s="1110"/>
      <c r="D5" s="1110"/>
      <c r="E5" s="1110"/>
      <c r="F5" s="1110"/>
      <c r="G5" s="1110"/>
      <c r="H5" s="1110"/>
      <c r="I5" s="371"/>
      <c r="J5" s="371"/>
      <c r="K5" s="371"/>
    </row>
    <row r="6" spans="1:13" ht="19.5" customHeight="1" x14ac:dyDescent="0.2">
      <c r="A6" s="367" t="s">
        <v>861</v>
      </c>
      <c r="B6" s="976" t="str">
        <f>ORÇAMENTO!B6</f>
        <v>AVENIDA TRANSAMAZÔNICA S/N, BRASIL NOVO/PA</v>
      </c>
      <c r="C6" s="977"/>
      <c r="D6" s="977"/>
      <c r="E6" s="977"/>
      <c r="F6" s="977"/>
      <c r="G6" s="977"/>
      <c r="H6" s="977"/>
      <c r="I6" s="426"/>
      <c r="J6" s="426"/>
      <c r="K6" s="426"/>
    </row>
    <row r="7" spans="1:13" ht="27.75" customHeight="1" x14ac:dyDescent="0.2">
      <c r="A7" s="619" t="s">
        <v>80</v>
      </c>
      <c r="B7" s="1122">
        <f>ORÇAMENTO!B7</f>
        <v>0.29769428939090381</v>
      </c>
      <c r="C7" s="1123"/>
      <c r="D7" s="1116" t="s">
        <v>34</v>
      </c>
      <c r="E7" s="1117"/>
      <c r="F7" s="806"/>
      <c r="G7" s="1112" t="str">
        <f>ORÇAMENTO!H7</f>
        <v>SINAPI FEVEREIRO 2022 - DESONERADA</v>
      </c>
      <c r="H7" s="1113"/>
      <c r="I7" s="427"/>
      <c r="J7" s="427"/>
      <c r="K7" s="427"/>
      <c r="L7" s="1120" t="s">
        <v>1150</v>
      </c>
      <c r="M7" s="1120"/>
    </row>
    <row r="8" spans="1:13" ht="30" customHeight="1" x14ac:dyDescent="0.2">
      <c r="A8" s="370" t="s">
        <v>1157</v>
      </c>
      <c r="B8" s="1109" t="str">
        <f>ORÇAMENTO!B8</f>
        <v>06 meses</v>
      </c>
      <c r="C8" s="1121"/>
      <c r="D8" s="1118"/>
      <c r="E8" s="1119"/>
      <c r="F8" s="807"/>
      <c r="G8" s="1114" t="str">
        <f>ORÇAMENTO!H8</f>
        <v>SEDOP FEVEREIRO 2022 - DESONERADA</v>
      </c>
      <c r="H8" s="1115"/>
      <c r="I8" s="427"/>
      <c r="J8" s="427"/>
      <c r="K8" s="427"/>
      <c r="L8" s="824">
        <v>-0.23</v>
      </c>
    </row>
    <row r="9" spans="1:13" ht="21.75" customHeight="1" x14ac:dyDescent="0.2">
      <c r="A9" s="888" t="s">
        <v>865</v>
      </c>
      <c r="B9" s="1124">
        <f>ORÇAMENTO!B9</f>
        <v>1202969.1098858207</v>
      </c>
      <c r="C9" s="1125"/>
      <c r="D9" s="1103" t="s">
        <v>864</v>
      </c>
      <c r="E9" s="1104"/>
      <c r="F9" s="808"/>
      <c r="G9" s="1101">
        <f>ORÇAMENTO!H9</f>
        <v>44749</v>
      </c>
      <c r="H9" s="1102"/>
      <c r="I9" s="428"/>
      <c r="J9" s="428"/>
      <c r="K9" s="428"/>
    </row>
    <row r="10" spans="1:13" ht="15.75" customHeight="1" x14ac:dyDescent="0.2">
      <c r="A10" s="368"/>
      <c r="B10" s="368"/>
      <c r="C10" s="368"/>
      <c r="D10" s="368"/>
      <c r="E10" s="368"/>
      <c r="F10" s="809"/>
      <c r="G10" s="368"/>
      <c r="H10" s="368"/>
      <c r="I10" s="368"/>
      <c r="J10" s="368"/>
      <c r="K10" s="369"/>
    </row>
    <row r="11" spans="1:13" ht="15.75" customHeight="1" x14ac:dyDescent="0.2">
      <c r="A11" s="1105" t="s">
        <v>253</v>
      </c>
      <c r="B11" s="1106"/>
      <c r="C11" s="1106"/>
      <c r="D11" s="1106"/>
      <c r="E11" s="1106"/>
      <c r="F11" s="1106"/>
      <c r="G11" s="1106"/>
      <c r="H11" s="1106"/>
      <c r="I11" s="429"/>
      <c r="J11" s="429"/>
      <c r="K11" s="429"/>
    </row>
    <row r="12" spans="1:13" ht="15.75" customHeight="1" thickBot="1" x14ac:dyDescent="0.25"/>
    <row r="13" spans="1:13" ht="24.75" customHeight="1" x14ac:dyDescent="0.2">
      <c r="A13" s="1087" t="s">
        <v>57</v>
      </c>
      <c r="B13" s="1088"/>
      <c r="C13" s="1088"/>
      <c r="D13" s="1088"/>
      <c r="E13" s="1088"/>
      <c r="F13" s="1088"/>
      <c r="G13" s="1088"/>
      <c r="H13" s="1111"/>
    </row>
    <row r="14" spans="1:13" ht="34.5" customHeight="1" x14ac:dyDescent="0.2">
      <c r="A14" s="1090" t="s">
        <v>1068</v>
      </c>
      <c r="B14" s="1091"/>
      <c r="C14" s="1091"/>
      <c r="D14" s="1091"/>
      <c r="E14" s="1091"/>
      <c r="F14" s="1091"/>
      <c r="G14" s="1092"/>
      <c r="H14" s="645" t="s">
        <v>254</v>
      </c>
    </row>
    <row r="15" spans="1:13" ht="32.25" thickBot="1" x14ac:dyDescent="0.25">
      <c r="A15" s="646" t="s">
        <v>800</v>
      </c>
      <c r="B15" s="647" t="s">
        <v>7</v>
      </c>
      <c r="C15" s="648" t="s">
        <v>16</v>
      </c>
      <c r="D15" s="649" t="s">
        <v>801</v>
      </c>
      <c r="E15" s="650" t="s">
        <v>2</v>
      </c>
      <c r="F15" s="811" t="s">
        <v>802</v>
      </c>
      <c r="G15" s="651" t="s">
        <v>802</v>
      </c>
      <c r="H15" s="652" t="s">
        <v>58</v>
      </c>
    </row>
    <row r="16" spans="1:13" s="658" customFormat="1" ht="33" customHeight="1" x14ac:dyDescent="0.2">
      <c r="A16" s="653" t="s">
        <v>12</v>
      </c>
      <c r="B16" s="654">
        <v>100305</v>
      </c>
      <c r="C16" s="655" t="s">
        <v>255</v>
      </c>
      <c r="D16" s="654" t="s">
        <v>123</v>
      </c>
      <c r="E16" s="359">
        <f>'ADM. OBRA. 1'!H21</f>
        <v>51</v>
      </c>
      <c r="F16" s="812">
        <v>83.13</v>
      </c>
      <c r="G16" s="656">
        <f>F16*$L$8+F16</f>
        <v>64.010099999999994</v>
      </c>
      <c r="H16" s="657">
        <f t="shared" ref="H16" si="0">ROUND((G16*E16),2)</f>
        <v>3264.52</v>
      </c>
    </row>
    <row r="17" spans="1:13" s="658" customFormat="1" ht="33" customHeight="1" x14ac:dyDescent="0.2">
      <c r="A17" s="653" t="s">
        <v>12</v>
      </c>
      <c r="B17" s="654">
        <v>90776</v>
      </c>
      <c r="C17" s="655" t="s">
        <v>256</v>
      </c>
      <c r="D17" s="654" t="s">
        <v>123</v>
      </c>
      <c r="E17" s="359">
        <f>'ADM. OBRA. 1'!H24</f>
        <v>1056</v>
      </c>
      <c r="F17" s="812">
        <v>18.510000000000002</v>
      </c>
      <c r="G17" s="656">
        <f>F17*$L$8+F17</f>
        <v>14.252700000000001</v>
      </c>
      <c r="H17" s="657">
        <f>ROUND((G17*E17),2)</f>
        <v>15050.85</v>
      </c>
    </row>
    <row r="18" spans="1:13" ht="16.5" thickBot="1" x14ac:dyDescent="0.25">
      <c r="A18" s="1107" t="s">
        <v>17</v>
      </c>
      <c r="B18" s="1108"/>
      <c r="C18" s="1108"/>
      <c r="D18" s="1108"/>
      <c r="E18" s="1108"/>
      <c r="F18" s="1108"/>
      <c r="G18" s="1108"/>
      <c r="H18" s="659">
        <f>ROUND(SUM(H16:H17),2)</f>
        <v>18315.37</v>
      </c>
    </row>
    <row r="19" spans="1:13" ht="15" thickBot="1" x14ac:dyDescent="0.25">
      <c r="A19" s="660"/>
      <c r="B19" s="660"/>
      <c r="C19" s="661"/>
      <c r="D19" s="660"/>
      <c r="E19" s="662"/>
      <c r="F19" s="813"/>
      <c r="G19" s="663"/>
      <c r="H19" s="664"/>
    </row>
    <row r="20" spans="1:13" ht="24.75" customHeight="1" x14ac:dyDescent="0.2">
      <c r="A20" s="1087" t="s">
        <v>60</v>
      </c>
      <c r="B20" s="1088"/>
      <c r="C20" s="1088"/>
      <c r="D20" s="1088"/>
      <c r="E20" s="1088"/>
      <c r="F20" s="1088"/>
      <c r="G20" s="1088"/>
      <c r="H20" s="1089"/>
    </row>
    <row r="21" spans="1:13" ht="27" customHeight="1" x14ac:dyDescent="0.2">
      <c r="A21" s="1090" t="s">
        <v>482</v>
      </c>
      <c r="B21" s="1091"/>
      <c r="C21" s="1091"/>
      <c r="D21" s="1091"/>
      <c r="E21" s="1091"/>
      <c r="F21" s="1091"/>
      <c r="G21" s="1092"/>
      <c r="H21" s="645" t="s">
        <v>254</v>
      </c>
      <c r="I21" s="665"/>
      <c r="J21" s="665"/>
      <c r="K21" s="665"/>
      <c r="L21" s="665"/>
      <c r="M21" s="665"/>
    </row>
    <row r="22" spans="1:13" ht="32.25" thickBot="1" x14ac:dyDescent="0.25">
      <c r="A22" s="646" t="s">
        <v>800</v>
      </c>
      <c r="B22" s="647" t="s">
        <v>7</v>
      </c>
      <c r="C22" s="648" t="s">
        <v>16</v>
      </c>
      <c r="D22" s="649" t="s">
        <v>801</v>
      </c>
      <c r="E22" s="650" t="s">
        <v>2</v>
      </c>
      <c r="F22" s="811" t="s">
        <v>802</v>
      </c>
      <c r="G22" s="651" t="s">
        <v>802</v>
      </c>
      <c r="H22" s="652" t="s">
        <v>58</v>
      </c>
    </row>
    <row r="23" spans="1:13" ht="96.75" customHeight="1" x14ac:dyDescent="0.2">
      <c r="A23" s="653" t="s">
        <v>12</v>
      </c>
      <c r="B23" s="360" t="s">
        <v>343</v>
      </c>
      <c r="C23" s="361" t="s">
        <v>344</v>
      </c>
      <c r="D23" s="654" t="s">
        <v>315</v>
      </c>
      <c r="E23" s="359">
        <f>0.094</f>
        <v>9.4E-2</v>
      </c>
      <c r="F23" s="812">
        <v>234.15</v>
      </c>
      <c r="G23" s="656">
        <f>F23*$L$8+F23</f>
        <v>180.2955</v>
      </c>
      <c r="H23" s="365">
        <f>ROUND(E23*G23,2)</f>
        <v>16.95</v>
      </c>
    </row>
    <row r="24" spans="1:13" ht="36.75" customHeight="1" x14ac:dyDescent="0.2">
      <c r="A24" s="653" t="s">
        <v>12</v>
      </c>
      <c r="B24" s="666" t="s">
        <v>345</v>
      </c>
      <c r="C24" s="362" t="s">
        <v>346</v>
      </c>
      <c r="D24" s="363" t="s">
        <v>123</v>
      </c>
      <c r="E24" s="364">
        <f>2.109</f>
        <v>2.109</v>
      </c>
      <c r="F24" s="814">
        <v>17.04</v>
      </c>
      <c r="G24" s="656">
        <f>F24*$L$8+F24</f>
        <v>13.120799999999999</v>
      </c>
      <c r="H24" s="365">
        <f t="shared" ref="H24:H25" si="1">ROUND(E24*G24,2)</f>
        <v>27.67</v>
      </c>
    </row>
    <row r="25" spans="1:13" ht="15" x14ac:dyDescent="0.2">
      <c r="A25" s="653" t="s">
        <v>12</v>
      </c>
      <c r="B25" s="666" t="s">
        <v>347</v>
      </c>
      <c r="C25" s="362" t="s">
        <v>348</v>
      </c>
      <c r="D25" s="363" t="s">
        <v>123</v>
      </c>
      <c r="E25" s="364">
        <f>6.854</f>
        <v>6.8540000000000001</v>
      </c>
      <c r="F25" s="814">
        <v>21.52</v>
      </c>
      <c r="G25" s="656">
        <f>F25*$L$8+F25</f>
        <v>16.570399999999999</v>
      </c>
      <c r="H25" s="365">
        <f t="shared" si="1"/>
        <v>113.57</v>
      </c>
    </row>
    <row r="26" spans="1:13" ht="16.5" thickBot="1" x14ac:dyDescent="0.3">
      <c r="A26" s="1093" t="s">
        <v>17</v>
      </c>
      <c r="B26" s="1094"/>
      <c r="C26" s="1094"/>
      <c r="D26" s="1094"/>
      <c r="E26" s="1094"/>
      <c r="F26" s="1094"/>
      <c r="G26" s="1095"/>
      <c r="H26" s="667">
        <f>ROUND(SUM(H23:H25),2)</f>
        <v>158.19</v>
      </c>
    </row>
    <row r="27" spans="1:13" ht="15" thickBot="1" x14ac:dyDescent="0.25">
      <c r="A27" s="660"/>
      <c r="B27" s="660"/>
      <c r="C27" s="661"/>
      <c r="D27" s="660"/>
      <c r="E27" s="662"/>
      <c r="F27" s="813"/>
      <c r="G27" s="663"/>
      <c r="H27" s="664"/>
    </row>
    <row r="28" spans="1:13" ht="24.75" customHeight="1" x14ac:dyDescent="0.2">
      <c r="A28" s="1087" t="s">
        <v>734</v>
      </c>
      <c r="B28" s="1088"/>
      <c r="C28" s="1088"/>
      <c r="D28" s="1088"/>
      <c r="E28" s="1088"/>
      <c r="F28" s="1088"/>
      <c r="G28" s="1088"/>
      <c r="H28" s="1089"/>
    </row>
    <row r="29" spans="1:13" ht="51" customHeight="1" x14ac:dyDescent="0.2">
      <c r="A29" s="1090" t="s">
        <v>960</v>
      </c>
      <c r="B29" s="1091"/>
      <c r="C29" s="1091"/>
      <c r="D29" s="1091"/>
      <c r="E29" s="1091"/>
      <c r="F29" s="1091"/>
      <c r="G29" s="1092"/>
      <c r="H29" s="668" t="s">
        <v>56</v>
      </c>
      <c r="I29" s="665"/>
      <c r="J29" s="665"/>
      <c r="K29" s="665"/>
      <c r="L29" s="665"/>
      <c r="M29" s="665"/>
    </row>
    <row r="30" spans="1:13" ht="32.25" thickBot="1" x14ac:dyDescent="0.25">
      <c r="A30" s="646" t="s">
        <v>800</v>
      </c>
      <c r="B30" s="647" t="s">
        <v>7</v>
      </c>
      <c r="C30" s="648" t="s">
        <v>16</v>
      </c>
      <c r="D30" s="649" t="s">
        <v>801</v>
      </c>
      <c r="E30" s="650" t="s">
        <v>2</v>
      </c>
      <c r="F30" s="811" t="s">
        <v>802</v>
      </c>
      <c r="G30" s="651" t="s">
        <v>802</v>
      </c>
      <c r="H30" s="652" t="s">
        <v>58</v>
      </c>
    </row>
    <row r="31" spans="1:13" ht="33" customHeight="1" x14ac:dyDescent="0.2">
      <c r="A31" s="653" t="s">
        <v>282</v>
      </c>
      <c r="B31" s="666" t="s">
        <v>483</v>
      </c>
      <c r="C31" s="362" t="s">
        <v>484</v>
      </c>
      <c r="D31" s="363" t="s">
        <v>292</v>
      </c>
      <c r="E31" s="364">
        <v>1</v>
      </c>
      <c r="F31" s="814">
        <v>1.1000000000000001</v>
      </c>
      <c r="G31" s="656">
        <f>F31*$L$8+F31</f>
        <v>0.84699999999999998</v>
      </c>
      <c r="H31" s="365">
        <f t="shared" ref="H31" si="2">ROUND(E31*G31,2)</f>
        <v>0.85</v>
      </c>
    </row>
    <row r="32" spans="1:13" ht="41.25" customHeight="1" x14ac:dyDescent="0.2">
      <c r="A32" s="653" t="s">
        <v>12</v>
      </c>
      <c r="B32" s="666" t="s">
        <v>313</v>
      </c>
      <c r="C32" s="362" t="s">
        <v>128</v>
      </c>
      <c r="D32" s="363" t="s">
        <v>123</v>
      </c>
      <c r="E32" s="364">
        <v>2.2559999999999998</v>
      </c>
      <c r="F32" s="814">
        <v>21.07</v>
      </c>
      <c r="G32" s="656">
        <f>F32*$L$8+F32</f>
        <v>16.2239</v>
      </c>
      <c r="H32" s="365">
        <f>ROUND(E32*G32,2)</f>
        <v>36.6</v>
      </c>
    </row>
    <row r="33" spans="1:8" ht="21.75" customHeight="1" x14ac:dyDescent="0.2">
      <c r="A33" s="653" t="s">
        <v>12</v>
      </c>
      <c r="B33" s="360" t="s">
        <v>169</v>
      </c>
      <c r="C33" s="361" t="s">
        <v>129</v>
      </c>
      <c r="D33" s="654" t="s">
        <v>123</v>
      </c>
      <c r="E33" s="359">
        <v>1.9830000000000001</v>
      </c>
      <c r="F33" s="812">
        <v>21.31</v>
      </c>
      <c r="G33" s="656">
        <f>F33*$L$8+F33</f>
        <v>16.4087</v>
      </c>
      <c r="H33" s="365">
        <f t="shared" ref="H33:H38" si="3">ROUND(E33*G33,2)</f>
        <v>32.54</v>
      </c>
    </row>
    <row r="34" spans="1:8" ht="20.25" customHeight="1" x14ac:dyDescent="0.2">
      <c r="A34" s="653" t="s">
        <v>12</v>
      </c>
      <c r="B34" s="666" t="s">
        <v>171</v>
      </c>
      <c r="C34" s="362" t="s">
        <v>93</v>
      </c>
      <c r="D34" s="363" t="s">
        <v>123</v>
      </c>
      <c r="E34" s="364">
        <v>4.2389999999999999</v>
      </c>
      <c r="F34" s="814">
        <v>17.09</v>
      </c>
      <c r="G34" s="656">
        <f t="shared" ref="G34:G38" si="4">F34*$L$8+F34</f>
        <v>13.1593</v>
      </c>
      <c r="H34" s="365">
        <f t="shared" si="3"/>
        <v>55.78</v>
      </c>
    </row>
    <row r="35" spans="1:8" ht="56.25" customHeight="1" x14ac:dyDescent="0.2">
      <c r="A35" s="357" t="s">
        <v>282</v>
      </c>
      <c r="B35" s="666" t="s">
        <v>953</v>
      </c>
      <c r="C35" s="362" t="s">
        <v>952</v>
      </c>
      <c r="D35" s="363" t="s">
        <v>52</v>
      </c>
      <c r="E35" s="364">
        <v>2.5</v>
      </c>
      <c r="F35" s="814">
        <v>7.56</v>
      </c>
      <c r="G35" s="656">
        <f t="shared" si="4"/>
        <v>5.8211999999999993</v>
      </c>
      <c r="H35" s="365">
        <f t="shared" si="3"/>
        <v>14.55</v>
      </c>
    </row>
    <row r="36" spans="1:8" ht="41.25" customHeight="1" x14ac:dyDescent="0.2">
      <c r="A36" s="357" t="s">
        <v>282</v>
      </c>
      <c r="B36" s="666" t="s">
        <v>314</v>
      </c>
      <c r="C36" s="362" t="s">
        <v>846</v>
      </c>
      <c r="D36" s="363" t="s">
        <v>52</v>
      </c>
      <c r="E36" s="364">
        <v>2</v>
      </c>
      <c r="F36" s="814">
        <v>3.32</v>
      </c>
      <c r="G36" s="656">
        <f t="shared" si="4"/>
        <v>2.5564</v>
      </c>
      <c r="H36" s="365">
        <f t="shared" si="3"/>
        <v>5.1100000000000003</v>
      </c>
    </row>
    <row r="37" spans="1:8" ht="45" x14ac:dyDescent="0.2">
      <c r="A37" s="653" t="s">
        <v>12</v>
      </c>
      <c r="B37" s="666" t="s">
        <v>99</v>
      </c>
      <c r="C37" s="362" t="s">
        <v>479</v>
      </c>
      <c r="D37" s="363" t="s">
        <v>56</v>
      </c>
      <c r="E37" s="364">
        <v>1.2130000000000001</v>
      </c>
      <c r="F37" s="814">
        <v>491.26</v>
      </c>
      <c r="G37" s="656">
        <f t="shared" si="4"/>
        <v>378.27019999999999</v>
      </c>
      <c r="H37" s="365">
        <f>ROUND(E37*G37,2)</f>
        <v>458.84</v>
      </c>
    </row>
    <row r="38" spans="1:8" ht="45" x14ac:dyDescent="0.2">
      <c r="A38" s="653" t="s">
        <v>12</v>
      </c>
      <c r="B38" s="666" t="s">
        <v>475</v>
      </c>
      <c r="C38" s="362" t="s">
        <v>480</v>
      </c>
      <c r="D38" s="363" t="s">
        <v>68</v>
      </c>
      <c r="E38" s="364">
        <v>1</v>
      </c>
      <c r="F38" s="814">
        <v>16.48</v>
      </c>
      <c r="G38" s="656">
        <f t="shared" si="4"/>
        <v>12.6896</v>
      </c>
      <c r="H38" s="365">
        <f t="shared" si="3"/>
        <v>12.69</v>
      </c>
    </row>
    <row r="39" spans="1:8" ht="16.5" thickBot="1" x14ac:dyDescent="0.3">
      <c r="A39" s="1093" t="s">
        <v>17</v>
      </c>
      <c r="B39" s="1094"/>
      <c r="C39" s="1094"/>
      <c r="D39" s="1094"/>
      <c r="E39" s="1094"/>
      <c r="F39" s="1094"/>
      <c r="G39" s="1095"/>
      <c r="H39" s="667">
        <f>ROUND(SUM(H31:H38),2)</f>
        <v>616.96</v>
      </c>
    </row>
    <row r="40" spans="1:8" ht="15" thickBot="1" x14ac:dyDescent="0.25">
      <c r="A40" s="660"/>
      <c r="B40" s="660"/>
      <c r="C40" s="661"/>
      <c r="D40" s="660"/>
      <c r="E40" s="662"/>
      <c r="F40" s="813"/>
      <c r="G40" s="663"/>
      <c r="H40" s="664"/>
    </row>
    <row r="41" spans="1:8" ht="24.75" customHeight="1" x14ac:dyDescent="0.2">
      <c r="A41" s="1087" t="s">
        <v>132</v>
      </c>
      <c r="B41" s="1088"/>
      <c r="C41" s="1088"/>
      <c r="D41" s="1088"/>
      <c r="E41" s="1088"/>
      <c r="F41" s="1088"/>
      <c r="G41" s="1088"/>
      <c r="H41" s="1089"/>
    </row>
    <row r="42" spans="1:8" ht="45" customHeight="1" x14ac:dyDescent="0.2">
      <c r="A42" s="1098" t="s">
        <v>856</v>
      </c>
      <c r="B42" s="1099"/>
      <c r="C42" s="1099"/>
      <c r="D42" s="1099"/>
      <c r="E42" s="1099"/>
      <c r="F42" s="1099"/>
      <c r="G42" s="1100"/>
      <c r="H42" s="645" t="s">
        <v>52</v>
      </c>
    </row>
    <row r="43" spans="1:8" ht="32.25" thickBot="1" x14ac:dyDescent="0.25">
      <c r="A43" s="646" t="s">
        <v>800</v>
      </c>
      <c r="B43" s="647" t="s">
        <v>7</v>
      </c>
      <c r="C43" s="648" t="s">
        <v>16</v>
      </c>
      <c r="D43" s="649" t="s">
        <v>801</v>
      </c>
      <c r="E43" s="650" t="s">
        <v>2</v>
      </c>
      <c r="F43" s="811" t="s">
        <v>802</v>
      </c>
      <c r="G43" s="651" t="s">
        <v>802</v>
      </c>
      <c r="H43" s="652" t="s">
        <v>58</v>
      </c>
    </row>
    <row r="44" spans="1:8" ht="22.5" customHeight="1" x14ac:dyDescent="0.2">
      <c r="A44" s="357" t="s">
        <v>282</v>
      </c>
      <c r="B44" s="358" t="s">
        <v>851</v>
      </c>
      <c r="C44" s="362" t="s">
        <v>854</v>
      </c>
      <c r="D44" s="366" t="s">
        <v>858</v>
      </c>
      <c r="E44" s="364">
        <v>0.21</v>
      </c>
      <c r="F44" s="814">
        <v>16.71</v>
      </c>
      <c r="G44" s="656">
        <f t="shared" ref="G44:G47" si="5">F44*$L$8+F44</f>
        <v>12.866700000000002</v>
      </c>
      <c r="H44" s="365">
        <f t="shared" ref="H44:H47" si="6">ROUND(E44*G44,2)</f>
        <v>2.7</v>
      </c>
    </row>
    <row r="45" spans="1:8" ht="21" customHeight="1" x14ac:dyDescent="0.2">
      <c r="A45" s="357" t="s">
        <v>282</v>
      </c>
      <c r="B45" s="358" t="s">
        <v>852</v>
      </c>
      <c r="C45" s="362" t="s">
        <v>855</v>
      </c>
      <c r="D45" s="366" t="s">
        <v>124</v>
      </c>
      <c r="E45" s="364">
        <v>0.01</v>
      </c>
      <c r="F45" s="814">
        <v>6.54</v>
      </c>
      <c r="G45" s="656">
        <f t="shared" si="5"/>
        <v>5.0358000000000001</v>
      </c>
      <c r="H45" s="365">
        <f t="shared" si="6"/>
        <v>0.05</v>
      </c>
    </row>
    <row r="46" spans="1:8" ht="23.25" customHeight="1" x14ac:dyDescent="0.2">
      <c r="A46" s="357" t="s">
        <v>12</v>
      </c>
      <c r="B46" s="358" t="s">
        <v>853</v>
      </c>
      <c r="C46" s="361" t="s">
        <v>311</v>
      </c>
      <c r="D46" s="654" t="s">
        <v>123</v>
      </c>
      <c r="E46" s="359">
        <v>0.43</v>
      </c>
      <c r="F46" s="812">
        <v>22.38</v>
      </c>
      <c r="G46" s="656">
        <f t="shared" si="5"/>
        <v>17.232599999999998</v>
      </c>
      <c r="H46" s="365">
        <f t="shared" si="6"/>
        <v>7.41</v>
      </c>
    </row>
    <row r="47" spans="1:8" ht="38.25" customHeight="1" x14ac:dyDescent="0.2">
      <c r="A47" s="357" t="s">
        <v>12</v>
      </c>
      <c r="B47" s="358" t="s">
        <v>171</v>
      </c>
      <c r="C47" s="362" t="s">
        <v>93</v>
      </c>
      <c r="D47" s="363" t="s">
        <v>123</v>
      </c>
      <c r="E47" s="364">
        <v>0.18</v>
      </c>
      <c r="F47" s="814">
        <v>17.09</v>
      </c>
      <c r="G47" s="656">
        <f t="shared" si="5"/>
        <v>13.1593</v>
      </c>
      <c r="H47" s="365">
        <f t="shared" si="6"/>
        <v>2.37</v>
      </c>
    </row>
    <row r="48" spans="1:8" ht="16.5" thickBot="1" x14ac:dyDescent="0.3">
      <c r="A48" s="1093" t="s">
        <v>17</v>
      </c>
      <c r="B48" s="1094"/>
      <c r="C48" s="1094"/>
      <c r="D48" s="1094"/>
      <c r="E48" s="1094"/>
      <c r="F48" s="1094"/>
      <c r="G48" s="1095"/>
      <c r="H48" s="667">
        <f>ROUND(SUM(H44:H47),2)</f>
        <v>12.53</v>
      </c>
    </row>
    <row r="49" spans="1:8" ht="15" thickBot="1" x14ac:dyDescent="0.25">
      <c r="A49" s="660"/>
      <c r="B49" s="660"/>
      <c r="C49" s="661"/>
      <c r="D49" s="660"/>
      <c r="E49" s="662"/>
      <c r="F49" s="813"/>
      <c r="G49" s="663"/>
      <c r="H49" s="664"/>
    </row>
    <row r="50" spans="1:8" ht="24.75" customHeight="1" x14ac:dyDescent="0.2">
      <c r="A50" s="1087" t="s">
        <v>775</v>
      </c>
      <c r="B50" s="1088"/>
      <c r="C50" s="1088"/>
      <c r="D50" s="1088"/>
      <c r="E50" s="1088"/>
      <c r="F50" s="1088"/>
      <c r="G50" s="1088"/>
      <c r="H50" s="1089"/>
    </row>
    <row r="51" spans="1:8" ht="44.25" customHeight="1" x14ac:dyDescent="0.2">
      <c r="A51" s="1098" t="s">
        <v>857</v>
      </c>
      <c r="B51" s="1099"/>
      <c r="C51" s="1099"/>
      <c r="D51" s="1099"/>
      <c r="E51" s="1099"/>
      <c r="F51" s="1099"/>
      <c r="G51" s="1100"/>
      <c r="H51" s="645" t="s">
        <v>52</v>
      </c>
    </row>
    <row r="52" spans="1:8" ht="32.25" thickBot="1" x14ac:dyDescent="0.25">
      <c r="A52" s="646" t="s">
        <v>800</v>
      </c>
      <c r="B52" s="647" t="s">
        <v>7</v>
      </c>
      <c r="C52" s="648" t="s">
        <v>16</v>
      </c>
      <c r="D52" s="649" t="s">
        <v>801</v>
      </c>
      <c r="E52" s="650" t="s">
        <v>2</v>
      </c>
      <c r="F52" s="811" t="s">
        <v>802</v>
      </c>
      <c r="G52" s="651" t="s">
        <v>802</v>
      </c>
      <c r="H52" s="652" t="s">
        <v>58</v>
      </c>
    </row>
    <row r="53" spans="1:8" ht="24.75" customHeight="1" x14ac:dyDescent="0.2">
      <c r="A53" s="357" t="s">
        <v>282</v>
      </c>
      <c r="B53" s="358" t="s">
        <v>851</v>
      </c>
      <c r="C53" s="362" t="s">
        <v>854</v>
      </c>
      <c r="D53" s="366" t="s">
        <v>858</v>
      </c>
      <c r="E53" s="364">
        <v>1</v>
      </c>
      <c r="F53" s="814">
        <v>16.71</v>
      </c>
      <c r="G53" s="656">
        <f t="shared" ref="G53:G56" si="7">F53*$L$8+F53</f>
        <v>12.866700000000002</v>
      </c>
      <c r="H53" s="365">
        <f t="shared" ref="H53:H56" si="8">ROUND(E53*G53,2)</f>
        <v>12.87</v>
      </c>
    </row>
    <row r="54" spans="1:8" ht="21" customHeight="1" x14ac:dyDescent="0.2">
      <c r="A54" s="357" t="s">
        <v>282</v>
      </c>
      <c r="B54" s="358" t="s">
        <v>852</v>
      </c>
      <c r="C54" s="362" t="s">
        <v>855</v>
      </c>
      <c r="D54" s="366" t="s">
        <v>124</v>
      </c>
      <c r="E54" s="364">
        <v>0.05</v>
      </c>
      <c r="F54" s="814">
        <v>6.54</v>
      </c>
      <c r="G54" s="656">
        <f t="shared" si="7"/>
        <v>5.0358000000000001</v>
      </c>
      <c r="H54" s="365">
        <f t="shared" si="8"/>
        <v>0.25</v>
      </c>
    </row>
    <row r="55" spans="1:8" ht="18" customHeight="1" x14ac:dyDescent="0.2">
      <c r="A55" s="357" t="s">
        <v>12</v>
      </c>
      <c r="B55" s="358" t="s">
        <v>853</v>
      </c>
      <c r="C55" s="361" t="s">
        <v>311</v>
      </c>
      <c r="D55" s="654" t="s">
        <v>123</v>
      </c>
      <c r="E55" s="359">
        <v>0.74</v>
      </c>
      <c r="F55" s="812">
        <v>22.38</v>
      </c>
      <c r="G55" s="656">
        <f t="shared" si="7"/>
        <v>17.232599999999998</v>
      </c>
      <c r="H55" s="365">
        <f t="shared" si="8"/>
        <v>12.75</v>
      </c>
    </row>
    <row r="56" spans="1:8" ht="40.5" customHeight="1" x14ac:dyDescent="0.2">
      <c r="A56" s="357" t="s">
        <v>12</v>
      </c>
      <c r="B56" s="358" t="s">
        <v>171</v>
      </c>
      <c r="C56" s="362" t="s">
        <v>93</v>
      </c>
      <c r="D56" s="363" t="s">
        <v>123</v>
      </c>
      <c r="E56" s="364">
        <v>0.46</v>
      </c>
      <c r="F56" s="814">
        <v>17.09</v>
      </c>
      <c r="G56" s="656">
        <f t="shared" si="7"/>
        <v>13.1593</v>
      </c>
      <c r="H56" s="365">
        <f t="shared" si="8"/>
        <v>6.05</v>
      </c>
    </row>
    <row r="57" spans="1:8" ht="16.5" thickBot="1" x14ac:dyDescent="0.3">
      <c r="A57" s="1093" t="s">
        <v>17</v>
      </c>
      <c r="B57" s="1094"/>
      <c r="C57" s="1094"/>
      <c r="D57" s="1094"/>
      <c r="E57" s="1094"/>
      <c r="F57" s="1094"/>
      <c r="G57" s="1095"/>
      <c r="H57" s="667">
        <f>ROUND(SUM(H53:H56),2)</f>
        <v>31.92</v>
      </c>
    </row>
    <row r="58" spans="1:8" ht="15" thickBot="1" x14ac:dyDescent="0.25">
      <c r="A58" s="660"/>
      <c r="B58" s="660"/>
      <c r="C58" s="661"/>
      <c r="D58" s="660"/>
      <c r="E58" s="662"/>
      <c r="F58" s="813"/>
      <c r="G58" s="663"/>
      <c r="H58" s="664"/>
    </row>
    <row r="59" spans="1:8" ht="24.75" customHeight="1" x14ac:dyDescent="0.2">
      <c r="A59" s="1087" t="s">
        <v>138</v>
      </c>
      <c r="B59" s="1088"/>
      <c r="C59" s="1088"/>
      <c r="D59" s="1088"/>
      <c r="E59" s="1088"/>
      <c r="F59" s="1088"/>
      <c r="G59" s="1088"/>
      <c r="H59" s="1089"/>
    </row>
    <row r="60" spans="1:8" ht="56.25" customHeight="1" x14ac:dyDescent="0.2">
      <c r="A60" s="1098" t="s">
        <v>1135</v>
      </c>
      <c r="B60" s="1099"/>
      <c r="C60" s="1099"/>
      <c r="D60" s="1099"/>
      <c r="E60" s="1099"/>
      <c r="F60" s="1099"/>
      <c r="G60" s="1100"/>
      <c r="H60" s="645" t="s">
        <v>362</v>
      </c>
    </row>
    <row r="61" spans="1:8" ht="32.25" thickBot="1" x14ac:dyDescent="0.25">
      <c r="A61" s="646" t="s">
        <v>800</v>
      </c>
      <c r="B61" s="647" t="s">
        <v>7</v>
      </c>
      <c r="C61" s="648" t="s">
        <v>16</v>
      </c>
      <c r="D61" s="649" t="s">
        <v>801</v>
      </c>
      <c r="E61" s="650" t="s">
        <v>2</v>
      </c>
      <c r="F61" s="811" t="s">
        <v>802</v>
      </c>
      <c r="G61" s="651" t="s">
        <v>802</v>
      </c>
      <c r="H61" s="652" t="s">
        <v>58</v>
      </c>
    </row>
    <row r="62" spans="1:8" ht="37.5" customHeight="1" x14ac:dyDescent="0.2">
      <c r="A62" s="653" t="s">
        <v>282</v>
      </c>
      <c r="B62" s="666">
        <v>34723</v>
      </c>
      <c r="C62" s="362" t="s">
        <v>1129</v>
      </c>
      <c r="D62" s="363" t="s">
        <v>1134</v>
      </c>
      <c r="E62" s="364">
        <v>0.28259999999999996</v>
      </c>
      <c r="F62" s="814">
        <v>519.75</v>
      </c>
      <c r="G62" s="656">
        <f t="shared" ref="G62:G70" si="9">F62*$L$8+F62</f>
        <v>400.20749999999998</v>
      </c>
      <c r="H62" s="365">
        <f>ROUND(E62*G62,2)</f>
        <v>113.1</v>
      </c>
    </row>
    <row r="63" spans="1:8" ht="49.5" customHeight="1" x14ac:dyDescent="0.2">
      <c r="A63" s="653" t="s">
        <v>12</v>
      </c>
      <c r="B63" s="666">
        <v>93358</v>
      </c>
      <c r="C63" s="362" t="s">
        <v>298</v>
      </c>
      <c r="D63" s="363" t="s">
        <v>141</v>
      </c>
      <c r="E63" s="364">
        <v>0.09</v>
      </c>
      <c r="F63" s="814">
        <v>67.599999999999994</v>
      </c>
      <c r="G63" s="656">
        <f t="shared" si="9"/>
        <v>52.051999999999992</v>
      </c>
      <c r="H63" s="365">
        <f t="shared" ref="H63:H70" si="10">ROUND(E63*G63,2)</f>
        <v>4.68</v>
      </c>
    </row>
    <row r="64" spans="1:8" ht="49.5" customHeight="1" x14ac:dyDescent="0.2">
      <c r="A64" s="653" t="s">
        <v>12</v>
      </c>
      <c r="B64" s="360">
        <v>95241</v>
      </c>
      <c r="C64" s="361" t="s">
        <v>1130</v>
      </c>
      <c r="D64" s="654" t="s">
        <v>69</v>
      </c>
      <c r="E64" s="359">
        <v>0.09</v>
      </c>
      <c r="F64" s="812">
        <v>28.94</v>
      </c>
      <c r="G64" s="656">
        <f t="shared" si="9"/>
        <v>22.283799999999999</v>
      </c>
      <c r="H64" s="365">
        <f t="shared" ref="H64:H67" si="11">ROUND(E64*G64,2)</f>
        <v>2.0099999999999998</v>
      </c>
    </row>
    <row r="65" spans="1:8" ht="49.5" customHeight="1" x14ac:dyDescent="0.2">
      <c r="A65" s="653" t="s">
        <v>12</v>
      </c>
      <c r="B65" s="666">
        <v>96535</v>
      </c>
      <c r="C65" s="362" t="s">
        <v>695</v>
      </c>
      <c r="D65" s="363" t="s">
        <v>69</v>
      </c>
      <c r="E65" s="364">
        <v>0.89999999999999991</v>
      </c>
      <c r="F65" s="814">
        <v>125.06</v>
      </c>
      <c r="G65" s="656">
        <f t="shared" si="9"/>
        <v>96.296199999999999</v>
      </c>
      <c r="H65" s="365">
        <f t="shared" si="11"/>
        <v>86.67</v>
      </c>
    </row>
    <row r="66" spans="1:8" ht="49.5" customHeight="1" x14ac:dyDescent="0.2">
      <c r="A66" s="653" t="s">
        <v>12</v>
      </c>
      <c r="B66" s="666">
        <v>102487</v>
      </c>
      <c r="C66" s="362" t="s">
        <v>276</v>
      </c>
      <c r="D66" s="363" t="s">
        <v>141</v>
      </c>
      <c r="E66" s="364">
        <v>6.7500000000000004E-2</v>
      </c>
      <c r="F66" s="814">
        <v>545.9</v>
      </c>
      <c r="G66" s="656">
        <f t="shared" si="9"/>
        <v>420.34299999999996</v>
      </c>
      <c r="H66" s="365">
        <f t="shared" si="11"/>
        <v>28.37</v>
      </c>
    </row>
    <row r="67" spans="1:8" ht="37.5" customHeight="1" x14ac:dyDescent="0.2">
      <c r="A67" s="653" t="s">
        <v>12</v>
      </c>
      <c r="B67" s="666">
        <v>96995</v>
      </c>
      <c r="C67" s="362" t="s">
        <v>372</v>
      </c>
      <c r="D67" s="363" t="s">
        <v>141</v>
      </c>
      <c r="E67" s="364">
        <v>1.7999999999999992E-2</v>
      </c>
      <c r="F67" s="814">
        <v>40.99</v>
      </c>
      <c r="G67" s="656">
        <f t="shared" si="9"/>
        <v>31.5623</v>
      </c>
      <c r="H67" s="365">
        <f t="shared" si="11"/>
        <v>0.56999999999999995</v>
      </c>
    </row>
    <row r="68" spans="1:8" ht="48.75" customHeight="1" x14ac:dyDescent="0.2">
      <c r="A68" s="653" t="s">
        <v>282</v>
      </c>
      <c r="B68" s="360">
        <v>21013</v>
      </c>
      <c r="C68" s="361" t="s">
        <v>1131</v>
      </c>
      <c r="D68" s="654" t="s">
        <v>292</v>
      </c>
      <c r="E68" s="359">
        <v>3.45</v>
      </c>
      <c r="F68" s="812">
        <v>82.43</v>
      </c>
      <c r="G68" s="656">
        <f t="shared" si="9"/>
        <v>63.471100000000007</v>
      </c>
      <c r="H68" s="365">
        <f t="shared" si="10"/>
        <v>218.98</v>
      </c>
    </row>
    <row r="69" spans="1:8" ht="37.5" customHeight="1" x14ac:dyDescent="0.2">
      <c r="A69" s="653" t="s">
        <v>282</v>
      </c>
      <c r="B69" s="666">
        <v>11953</v>
      </c>
      <c r="C69" s="362" t="s">
        <v>1132</v>
      </c>
      <c r="D69" s="363" t="s">
        <v>285</v>
      </c>
      <c r="E69" s="364">
        <v>2</v>
      </c>
      <c r="F69" s="814">
        <v>3.71</v>
      </c>
      <c r="G69" s="656">
        <f t="shared" si="9"/>
        <v>2.8567</v>
      </c>
      <c r="H69" s="365">
        <f t="shared" si="10"/>
        <v>5.71</v>
      </c>
    </row>
    <row r="70" spans="1:8" ht="37.5" customHeight="1" x14ac:dyDescent="0.2">
      <c r="A70" s="653" t="s">
        <v>282</v>
      </c>
      <c r="B70" s="666">
        <v>1194</v>
      </c>
      <c r="C70" s="362" t="s">
        <v>1133</v>
      </c>
      <c r="D70" s="363" t="s">
        <v>285</v>
      </c>
      <c r="E70" s="364">
        <v>1</v>
      </c>
      <c r="F70" s="814">
        <v>10.32</v>
      </c>
      <c r="G70" s="656">
        <f t="shared" si="9"/>
        <v>7.9464000000000006</v>
      </c>
      <c r="H70" s="365">
        <f t="shared" si="10"/>
        <v>7.95</v>
      </c>
    </row>
    <row r="71" spans="1:8" ht="16.5" thickBot="1" x14ac:dyDescent="0.3">
      <c r="A71" s="1093" t="s">
        <v>17</v>
      </c>
      <c r="B71" s="1094"/>
      <c r="C71" s="1094"/>
      <c r="D71" s="1094"/>
      <c r="E71" s="1094"/>
      <c r="F71" s="1094"/>
      <c r="G71" s="1095"/>
      <c r="H71" s="667">
        <f>ROUND(SUM(H62:H70),2)</f>
        <v>468.04</v>
      </c>
    </row>
    <row r="72" spans="1:8" ht="15" thickBot="1" x14ac:dyDescent="0.25">
      <c r="A72" s="660"/>
      <c r="B72" s="660"/>
      <c r="C72" s="661"/>
      <c r="D72" s="660"/>
      <c r="E72" s="662"/>
      <c r="F72" s="813"/>
      <c r="G72" s="663"/>
      <c r="H72" s="664"/>
    </row>
    <row r="73" spans="1:8" ht="24.75" customHeight="1" x14ac:dyDescent="0.2">
      <c r="A73" s="1087" t="s">
        <v>140</v>
      </c>
      <c r="B73" s="1088"/>
      <c r="C73" s="1088"/>
      <c r="D73" s="1088"/>
      <c r="E73" s="1088"/>
      <c r="F73" s="1088"/>
      <c r="G73" s="1088"/>
      <c r="H73" s="1089"/>
    </row>
    <row r="74" spans="1:8" ht="46.5" customHeight="1" x14ac:dyDescent="0.2">
      <c r="A74" s="1098" t="s">
        <v>843</v>
      </c>
      <c r="B74" s="1099"/>
      <c r="C74" s="1099"/>
      <c r="D74" s="1099"/>
      <c r="E74" s="1099"/>
      <c r="F74" s="1099"/>
      <c r="G74" s="1100"/>
      <c r="H74" s="645" t="s">
        <v>52</v>
      </c>
    </row>
    <row r="75" spans="1:8" ht="32.25" thickBot="1" x14ac:dyDescent="0.25">
      <c r="A75" s="646" t="s">
        <v>800</v>
      </c>
      <c r="B75" s="647" t="s">
        <v>7</v>
      </c>
      <c r="C75" s="648" t="s">
        <v>16</v>
      </c>
      <c r="D75" s="649" t="s">
        <v>801</v>
      </c>
      <c r="E75" s="650" t="s">
        <v>2</v>
      </c>
      <c r="F75" s="811" t="s">
        <v>802</v>
      </c>
      <c r="G75" s="651" t="s">
        <v>802</v>
      </c>
      <c r="H75" s="652" t="s">
        <v>58</v>
      </c>
    </row>
    <row r="76" spans="1:8" ht="15" x14ac:dyDescent="0.2">
      <c r="A76" s="653" t="s">
        <v>12</v>
      </c>
      <c r="B76" s="666" t="s">
        <v>169</v>
      </c>
      <c r="C76" s="362" t="s">
        <v>842</v>
      </c>
      <c r="D76" s="363" t="s">
        <v>123</v>
      </c>
      <c r="E76" s="364">
        <v>0.8</v>
      </c>
      <c r="F76" s="814">
        <v>21.31</v>
      </c>
      <c r="G76" s="656">
        <f t="shared" ref="G76:G81" si="12">F76*$L$8+F76</f>
        <v>16.4087</v>
      </c>
      <c r="H76" s="365">
        <f t="shared" ref="H76:H81" si="13">ROUND(E76*G76,2)</f>
        <v>13.13</v>
      </c>
    </row>
    <row r="77" spans="1:8" ht="15" x14ac:dyDescent="0.2">
      <c r="A77" s="653" t="s">
        <v>12</v>
      </c>
      <c r="B77" s="666" t="s">
        <v>171</v>
      </c>
      <c r="C77" s="362" t="s">
        <v>844</v>
      </c>
      <c r="D77" s="363" t="s">
        <v>123</v>
      </c>
      <c r="E77" s="364">
        <v>0.8</v>
      </c>
      <c r="F77" s="814">
        <v>17.09</v>
      </c>
      <c r="G77" s="656">
        <f t="shared" si="12"/>
        <v>13.1593</v>
      </c>
      <c r="H77" s="365">
        <f t="shared" si="13"/>
        <v>10.53</v>
      </c>
    </row>
    <row r="78" spans="1:8" ht="30" x14ac:dyDescent="0.2">
      <c r="A78" s="653" t="s">
        <v>282</v>
      </c>
      <c r="B78" s="360" t="s">
        <v>850</v>
      </c>
      <c r="C78" s="361" t="s">
        <v>845</v>
      </c>
      <c r="D78" s="654" t="s">
        <v>56</v>
      </c>
      <c r="E78" s="359">
        <v>1.9800000000000002E-2</v>
      </c>
      <c r="F78" s="812">
        <v>82.5</v>
      </c>
      <c r="G78" s="656">
        <f t="shared" si="12"/>
        <v>63.524999999999999</v>
      </c>
      <c r="H78" s="365">
        <f t="shared" si="13"/>
        <v>1.26</v>
      </c>
    </row>
    <row r="79" spans="1:8" ht="30" x14ac:dyDescent="0.2">
      <c r="A79" s="653" t="s">
        <v>282</v>
      </c>
      <c r="B79" s="666" t="s">
        <v>314</v>
      </c>
      <c r="C79" s="362" t="s">
        <v>846</v>
      </c>
      <c r="D79" s="363" t="s">
        <v>52</v>
      </c>
      <c r="E79" s="364">
        <v>0.24</v>
      </c>
      <c r="F79" s="814">
        <v>3.32</v>
      </c>
      <c r="G79" s="656">
        <f t="shared" si="12"/>
        <v>2.5564</v>
      </c>
      <c r="H79" s="365">
        <f t="shared" si="13"/>
        <v>0.61</v>
      </c>
    </row>
    <row r="80" spans="1:8" ht="45" x14ac:dyDescent="0.2">
      <c r="A80" s="653" t="s">
        <v>282</v>
      </c>
      <c r="B80" s="666" t="s">
        <v>303</v>
      </c>
      <c r="C80" s="362" t="s">
        <v>847</v>
      </c>
      <c r="D80" s="363" t="s">
        <v>52</v>
      </c>
      <c r="E80" s="364">
        <v>0.22499999999999998</v>
      </c>
      <c r="F80" s="814">
        <v>22.09</v>
      </c>
      <c r="G80" s="656">
        <f t="shared" si="12"/>
        <v>17.0093</v>
      </c>
      <c r="H80" s="365">
        <f t="shared" si="13"/>
        <v>3.83</v>
      </c>
    </row>
    <row r="81" spans="1:8" ht="45" x14ac:dyDescent="0.2">
      <c r="A81" s="653" t="s">
        <v>282</v>
      </c>
      <c r="B81" s="666" t="s">
        <v>849</v>
      </c>
      <c r="C81" s="362" t="s">
        <v>848</v>
      </c>
      <c r="D81" s="363" t="s">
        <v>56</v>
      </c>
      <c r="E81" s="364">
        <v>0.14879999999999999</v>
      </c>
      <c r="F81" s="814">
        <v>470</v>
      </c>
      <c r="G81" s="656">
        <f t="shared" si="12"/>
        <v>361.9</v>
      </c>
      <c r="H81" s="365">
        <f t="shared" si="13"/>
        <v>53.85</v>
      </c>
    </row>
    <row r="82" spans="1:8" ht="16.5" thickBot="1" x14ac:dyDescent="0.3">
      <c r="A82" s="1093" t="s">
        <v>17</v>
      </c>
      <c r="B82" s="1094"/>
      <c r="C82" s="1094"/>
      <c r="D82" s="1094"/>
      <c r="E82" s="1094"/>
      <c r="F82" s="1094"/>
      <c r="G82" s="1095"/>
      <c r="H82" s="667">
        <f>ROUND(SUM(H76:H81),2)</f>
        <v>83.21</v>
      </c>
    </row>
    <row r="83" spans="1:8" ht="15" thickBot="1" x14ac:dyDescent="0.25">
      <c r="A83" s="660"/>
      <c r="B83" s="660"/>
      <c r="C83" s="661"/>
      <c r="D83" s="660"/>
      <c r="E83" s="662"/>
      <c r="F83" s="813"/>
      <c r="G83" s="663"/>
      <c r="H83" s="664"/>
    </row>
    <row r="84" spans="1:8" ht="21" customHeight="1" x14ac:dyDescent="0.2">
      <c r="A84" s="1087" t="s">
        <v>142</v>
      </c>
      <c r="B84" s="1088"/>
      <c r="C84" s="1088"/>
      <c r="D84" s="1088"/>
      <c r="E84" s="1088"/>
      <c r="F84" s="1088"/>
      <c r="G84" s="1088"/>
      <c r="H84" s="1089"/>
    </row>
    <row r="85" spans="1:8" ht="31.5" customHeight="1" x14ac:dyDescent="0.2">
      <c r="A85" s="1090" t="s">
        <v>690</v>
      </c>
      <c r="B85" s="1091"/>
      <c r="C85" s="1091"/>
      <c r="D85" s="1091"/>
      <c r="E85" s="1091"/>
      <c r="F85" s="1091"/>
      <c r="G85" s="1092"/>
      <c r="H85" s="645" t="s">
        <v>254</v>
      </c>
    </row>
    <row r="86" spans="1:8" ht="32.25" thickBot="1" x14ac:dyDescent="0.25">
      <c r="A86" s="646" t="s">
        <v>800</v>
      </c>
      <c r="B86" s="647" t="s">
        <v>7</v>
      </c>
      <c r="C86" s="648" t="s">
        <v>16</v>
      </c>
      <c r="D86" s="649" t="s">
        <v>801</v>
      </c>
      <c r="E86" s="650" t="s">
        <v>2</v>
      </c>
      <c r="F86" s="811" t="s">
        <v>802</v>
      </c>
      <c r="G86" s="651" t="s">
        <v>802</v>
      </c>
      <c r="H86" s="652" t="s">
        <v>58</v>
      </c>
    </row>
    <row r="87" spans="1:8" s="658" customFormat="1" ht="30" x14ac:dyDescent="0.2">
      <c r="A87" s="653" t="s">
        <v>282</v>
      </c>
      <c r="B87" s="666">
        <v>38640</v>
      </c>
      <c r="C87" s="362" t="s">
        <v>284</v>
      </c>
      <c r="D87" s="363" t="s">
        <v>285</v>
      </c>
      <c r="E87" s="364" t="s">
        <v>691</v>
      </c>
      <c r="F87" s="814">
        <v>2.06</v>
      </c>
      <c r="G87" s="656">
        <f t="shared" ref="G87:G90" si="14">F87*$L$8+F87</f>
        <v>1.5862000000000001</v>
      </c>
      <c r="H87" s="365">
        <f>ROUND(E87*G87,2)</f>
        <v>1.59</v>
      </c>
    </row>
    <row r="88" spans="1:8" s="658" customFormat="1" ht="15" x14ac:dyDescent="0.2">
      <c r="A88" s="357" t="s">
        <v>12</v>
      </c>
      <c r="B88" s="666" t="s">
        <v>171</v>
      </c>
      <c r="C88" s="362" t="s">
        <v>93</v>
      </c>
      <c r="D88" s="363" t="s">
        <v>123</v>
      </c>
      <c r="E88" s="364" t="s">
        <v>692</v>
      </c>
      <c r="F88" s="814">
        <v>17.09</v>
      </c>
      <c r="G88" s="656">
        <f t="shared" si="14"/>
        <v>13.1593</v>
      </c>
      <c r="H88" s="365">
        <f t="shared" ref="H88:H89" si="15">ROUND(E88*G88,2)</f>
        <v>1.34</v>
      </c>
    </row>
    <row r="89" spans="1:8" s="658" customFormat="1" ht="15" x14ac:dyDescent="0.2">
      <c r="A89" s="357" t="s">
        <v>12</v>
      </c>
      <c r="B89" s="666" t="s">
        <v>286</v>
      </c>
      <c r="C89" s="362" t="s">
        <v>287</v>
      </c>
      <c r="D89" s="363" t="s">
        <v>123</v>
      </c>
      <c r="E89" s="364" t="s">
        <v>693</v>
      </c>
      <c r="F89" s="814">
        <v>17.440000000000001</v>
      </c>
      <c r="G89" s="656">
        <f t="shared" si="14"/>
        <v>13.428800000000001</v>
      </c>
      <c r="H89" s="365">
        <f t="shared" si="15"/>
        <v>0.34</v>
      </c>
    </row>
    <row r="90" spans="1:8" s="658" customFormat="1" ht="15" x14ac:dyDescent="0.2">
      <c r="A90" s="653" t="s">
        <v>282</v>
      </c>
      <c r="B90" s="666" t="s">
        <v>283</v>
      </c>
      <c r="C90" s="362" t="s">
        <v>125</v>
      </c>
      <c r="D90" s="363" t="s">
        <v>56</v>
      </c>
      <c r="E90" s="364">
        <v>5.0000000000000001E-3</v>
      </c>
      <c r="F90" s="814">
        <v>182.14</v>
      </c>
      <c r="G90" s="656">
        <f t="shared" si="14"/>
        <v>140.24779999999998</v>
      </c>
      <c r="H90" s="365">
        <f>ROUND(E90*G90,2)</f>
        <v>0.7</v>
      </c>
    </row>
    <row r="91" spans="1:8" s="658" customFormat="1" ht="16.5" thickBot="1" x14ac:dyDescent="0.3">
      <c r="A91" s="1093" t="s">
        <v>17</v>
      </c>
      <c r="B91" s="1094"/>
      <c r="C91" s="1094"/>
      <c r="D91" s="1094"/>
      <c r="E91" s="1094"/>
      <c r="F91" s="1094"/>
      <c r="G91" s="1095"/>
      <c r="H91" s="667">
        <f>ROUND(SUM(H87:H90),2)</f>
        <v>3.97</v>
      </c>
    </row>
    <row r="92" spans="1:8" s="658" customFormat="1" ht="27.75" customHeight="1" thickBot="1" x14ac:dyDescent="0.25">
      <c r="A92" s="669"/>
      <c r="B92" s="669"/>
      <c r="C92" s="670"/>
      <c r="D92" s="671"/>
      <c r="E92" s="672"/>
      <c r="F92" s="815"/>
      <c r="G92" s="673"/>
      <c r="H92" s="674"/>
    </row>
    <row r="93" spans="1:8" s="658" customFormat="1" ht="29.25" customHeight="1" x14ac:dyDescent="0.2">
      <c r="A93" s="1087" t="s">
        <v>143</v>
      </c>
      <c r="B93" s="1088"/>
      <c r="C93" s="1088"/>
      <c r="D93" s="1088"/>
      <c r="E93" s="1088"/>
      <c r="F93" s="1088"/>
      <c r="G93" s="1088"/>
      <c r="H93" s="1089"/>
    </row>
    <row r="94" spans="1:8" s="658" customFormat="1" ht="63" customHeight="1" x14ac:dyDescent="0.2">
      <c r="A94" s="1090" t="s">
        <v>1097</v>
      </c>
      <c r="B94" s="1091"/>
      <c r="C94" s="1091"/>
      <c r="D94" s="1091"/>
      <c r="E94" s="1091"/>
      <c r="F94" s="1091"/>
      <c r="G94" s="1092"/>
      <c r="H94" s="645" t="s">
        <v>254</v>
      </c>
    </row>
    <row r="95" spans="1:8" s="658" customFormat="1" ht="32.25" thickBot="1" x14ac:dyDescent="0.25">
      <c r="A95" s="646" t="s">
        <v>800</v>
      </c>
      <c r="B95" s="647" t="s">
        <v>7</v>
      </c>
      <c r="C95" s="648" t="s">
        <v>16</v>
      </c>
      <c r="D95" s="649" t="s">
        <v>801</v>
      </c>
      <c r="E95" s="650" t="s">
        <v>2</v>
      </c>
      <c r="F95" s="811" t="s">
        <v>802</v>
      </c>
      <c r="G95" s="651" t="s">
        <v>802</v>
      </c>
      <c r="H95" s="652" t="s">
        <v>58</v>
      </c>
    </row>
    <row r="96" spans="1:8" s="658" customFormat="1" ht="24.75" customHeight="1" x14ac:dyDescent="0.2">
      <c r="A96" s="653" t="s">
        <v>12</v>
      </c>
      <c r="B96" s="666" t="s">
        <v>117</v>
      </c>
      <c r="C96" s="362" t="s">
        <v>118</v>
      </c>
      <c r="D96" s="363" t="s">
        <v>56</v>
      </c>
      <c r="E96" s="364">
        <f>0.3*0.4*0.33*5</f>
        <v>0.19800000000000001</v>
      </c>
      <c r="F96" s="814">
        <v>67.599999999999994</v>
      </c>
      <c r="G96" s="656">
        <f t="shared" ref="G96:G103" si="16">F96*$L$8+F96</f>
        <v>52.051999999999992</v>
      </c>
      <c r="H96" s="365">
        <f t="shared" ref="H96:H98" si="17">ROUND(E96*G96,2)</f>
        <v>10.31</v>
      </c>
    </row>
    <row r="97" spans="1:8" s="658" customFormat="1" ht="54.75" customHeight="1" x14ac:dyDescent="0.2">
      <c r="A97" s="653" t="s">
        <v>12</v>
      </c>
      <c r="B97" s="666" t="s">
        <v>367</v>
      </c>
      <c r="C97" s="362" t="s">
        <v>369</v>
      </c>
      <c r="D97" s="363" t="s">
        <v>56</v>
      </c>
      <c r="E97" s="364">
        <f>0.5*0.3*5</f>
        <v>0.75</v>
      </c>
      <c r="F97" s="814">
        <v>17.96</v>
      </c>
      <c r="G97" s="656">
        <f t="shared" si="16"/>
        <v>13.8292</v>
      </c>
      <c r="H97" s="365">
        <f t="shared" si="17"/>
        <v>10.37</v>
      </c>
    </row>
    <row r="98" spans="1:8" s="658" customFormat="1" ht="68.25" customHeight="1" x14ac:dyDescent="0.2">
      <c r="A98" s="653" t="s">
        <v>12</v>
      </c>
      <c r="B98" s="666" t="s">
        <v>289</v>
      </c>
      <c r="C98" s="362" t="s">
        <v>290</v>
      </c>
      <c r="D98" s="654" t="s">
        <v>68</v>
      </c>
      <c r="E98" s="364">
        <f>(0.4+0.2)*2*0.3*5</f>
        <v>1.8000000000000003</v>
      </c>
      <c r="F98" s="814">
        <v>118.74</v>
      </c>
      <c r="G98" s="656">
        <f t="shared" si="16"/>
        <v>91.4298</v>
      </c>
      <c r="H98" s="365">
        <f t="shared" si="17"/>
        <v>164.57</v>
      </c>
    </row>
    <row r="99" spans="1:8" s="658" customFormat="1" ht="54.75" customHeight="1" x14ac:dyDescent="0.2">
      <c r="A99" s="653" t="s">
        <v>12</v>
      </c>
      <c r="B99" s="666" t="s">
        <v>275</v>
      </c>
      <c r="C99" s="362" t="s">
        <v>276</v>
      </c>
      <c r="D99" s="363" t="s">
        <v>56</v>
      </c>
      <c r="E99" s="364">
        <f>0.4*0.2*0.3*5</f>
        <v>0.12000000000000002</v>
      </c>
      <c r="F99" s="814">
        <v>545.9</v>
      </c>
      <c r="G99" s="656">
        <f t="shared" si="16"/>
        <v>420.34299999999996</v>
      </c>
      <c r="H99" s="365">
        <f>ROUND(E99*G99,2)</f>
        <v>50.44</v>
      </c>
    </row>
    <row r="100" spans="1:8" s="658" customFormat="1" ht="54.75" customHeight="1" x14ac:dyDescent="0.2">
      <c r="A100" s="653" t="s">
        <v>12</v>
      </c>
      <c r="B100" s="360" t="s">
        <v>115</v>
      </c>
      <c r="C100" s="361" t="s">
        <v>116</v>
      </c>
      <c r="D100" s="654" t="s">
        <v>68</v>
      </c>
      <c r="E100" s="359">
        <f>((0.4+0.2)*2*0.25*5+(13.5*0.5)+(13.5+13.32+0.5+0.5)*0.2)-(0.4*0.2*5)</f>
        <v>13.414</v>
      </c>
      <c r="F100" s="812">
        <v>171.58</v>
      </c>
      <c r="G100" s="656">
        <f t="shared" si="16"/>
        <v>132.11660000000001</v>
      </c>
      <c r="H100" s="675">
        <f>G100*E100</f>
        <v>1772.2120724000001</v>
      </c>
    </row>
    <row r="101" spans="1:8" s="658" customFormat="1" ht="68.25" customHeight="1" x14ac:dyDescent="0.2">
      <c r="A101" s="653" t="s">
        <v>12</v>
      </c>
      <c r="B101" s="666" t="s">
        <v>477</v>
      </c>
      <c r="C101" s="362" t="s">
        <v>478</v>
      </c>
      <c r="D101" s="363" t="s">
        <v>141</v>
      </c>
      <c r="E101" s="364">
        <f>0.4*0.2*0.25*5+13.5*0.5*0.2</f>
        <v>1.4500000000000002</v>
      </c>
      <c r="F101" s="814">
        <v>482.75</v>
      </c>
      <c r="G101" s="656">
        <f t="shared" si="16"/>
        <v>371.71749999999997</v>
      </c>
      <c r="H101" s="365">
        <f t="shared" ref="H101:H102" si="18">ROUND(E101*G101,2)</f>
        <v>538.99</v>
      </c>
    </row>
    <row r="102" spans="1:8" s="658" customFormat="1" ht="69.75" customHeight="1" x14ac:dyDescent="0.2">
      <c r="A102" s="653" t="s">
        <v>12</v>
      </c>
      <c r="B102" s="666" t="s">
        <v>83</v>
      </c>
      <c r="C102" s="362" t="s">
        <v>84</v>
      </c>
      <c r="D102" s="363" t="s">
        <v>67</v>
      </c>
      <c r="E102" s="364">
        <v>67.5</v>
      </c>
      <c r="F102" s="814">
        <v>12.97</v>
      </c>
      <c r="G102" s="656">
        <f t="shared" si="16"/>
        <v>9.9869000000000003</v>
      </c>
      <c r="H102" s="365">
        <f t="shared" si="18"/>
        <v>674.12</v>
      </c>
    </row>
    <row r="103" spans="1:8" s="658" customFormat="1" ht="68.25" customHeight="1" x14ac:dyDescent="0.2">
      <c r="A103" s="653" t="s">
        <v>12</v>
      </c>
      <c r="B103" s="666" t="s">
        <v>86</v>
      </c>
      <c r="C103" s="362" t="s">
        <v>87</v>
      </c>
      <c r="D103" s="363" t="s">
        <v>67</v>
      </c>
      <c r="E103" s="364">
        <v>30.37</v>
      </c>
      <c r="F103" s="814">
        <v>16.87</v>
      </c>
      <c r="G103" s="656">
        <f t="shared" si="16"/>
        <v>12.9899</v>
      </c>
      <c r="H103" s="365">
        <f>ROUND(E103*G103,2)</f>
        <v>394.5</v>
      </c>
    </row>
    <row r="104" spans="1:8" s="658" customFormat="1" ht="16.5" thickBot="1" x14ac:dyDescent="0.3">
      <c r="A104" s="1093" t="s">
        <v>17</v>
      </c>
      <c r="B104" s="1094"/>
      <c r="C104" s="1094"/>
      <c r="D104" s="1094"/>
      <c r="E104" s="1094"/>
      <c r="F104" s="1094"/>
      <c r="G104" s="1095"/>
      <c r="H104" s="667">
        <f>ROUND(SUM(H96:H103),2)</f>
        <v>3615.51</v>
      </c>
    </row>
    <row r="105" spans="1:8" s="658" customFormat="1" ht="24.75" customHeight="1" thickBot="1" x14ac:dyDescent="0.25">
      <c r="A105" s="669"/>
      <c r="B105" s="669"/>
      <c r="C105" s="670"/>
      <c r="D105" s="669"/>
      <c r="E105" s="672"/>
      <c r="F105" s="815"/>
      <c r="G105" s="673"/>
      <c r="H105" s="674"/>
    </row>
    <row r="106" spans="1:8" s="658" customFormat="1" ht="24.75" customHeight="1" x14ac:dyDescent="0.2">
      <c r="A106" s="1087" t="s">
        <v>170</v>
      </c>
      <c r="B106" s="1088"/>
      <c r="C106" s="1088"/>
      <c r="D106" s="1088"/>
      <c r="E106" s="1088"/>
      <c r="F106" s="1088"/>
      <c r="G106" s="1088"/>
      <c r="H106" s="1089"/>
    </row>
    <row r="107" spans="1:8" s="658" customFormat="1" ht="57" customHeight="1" x14ac:dyDescent="0.2">
      <c r="A107" s="1090" t="s">
        <v>1098</v>
      </c>
      <c r="B107" s="1091"/>
      <c r="C107" s="1091"/>
      <c r="D107" s="1091"/>
      <c r="E107" s="1091"/>
      <c r="F107" s="1091"/>
      <c r="G107" s="1092"/>
      <c r="H107" s="645" t="s">
        <v>254</v>
      </c>
    </row>
    <row r="108" spans="1:8" s="658" customFormat="1" ht="32.25" thickBot="1" x14ac:dyDescent="0.25">
      <c r="A108" s="646" t="s">
        <v>800</v>
      </c>
      <c r="B108" s="647" t="s">
        <v>7</v>
      </c>
      <c r="C108" s="648" t="s">
        <v>16</v>
      </c>
      <c r="D108" s="649" t="s">
        <v>801</v>
      </c>
      <c r="E108" s="650" t="s">
        <v>2</v>
      </c>
      <c r="F108" s="811" t="s">
        <v>802</v>
      </c>
      <c r="G108" s="651" t="s">
        <v>802</v>
      </c>
      <c r="H108" s="652" t="s">
        <v>58</v>
      </c>
    </row>
    <row r="109" spans="1:8" s="658" customFormat="1" ht="20.25" customHeight="1" x14ac:dyDescent="0.2">
      <c r="A109" s="653" t="s">
        <v>12</v>
      </c>
      <c r="B109" s="666" t="s">
        <v>117</v>
      </c>
      <c r="C109" s="362" t="s">
        <v>118</v>
      </c>
      <c r="D109" s="363" t="s">
        <v>56</v>
      </c>
      <c r="E109" s="364">
        <f>0.3*0.4*0.33*9</f>
        <v>0.35640000000000005</v>
      </c>
      <c r="F109" s="814">
        <v>67.599999999999994</v>
      </c>
      <c r="G109" s="656">
        <f t="shared" ref="G109:G116" si="19">F109*$L$8+F109</f>
        <v>52.051999999999992</v>
      </c>
      <c r="H109" s="365">
        <f t="shared" ref="H109:H111" si="20">ROUND(E109*G109,2)</f>
        <v>18.55</v>
      </c>
    </row>
    <row r="110" spans="1:8" s="658" customFormat="1" ht="48.75" customHeight="1" x14ac:dyDescent="0.2">
      <c r="A110" s="653" t="s">
        <v>12</v>
      </c>
      <c r="B110" s="666" t="s">
        <v>367</v>
      </c>
      <c r="C110" s="362" t="s">
        <v>369</v>
      </c>
      <c r="D110" s="363" t="s">
        <v>56</v>
      </c>
      <c r="E110" s="364">
        <f>0.5*0.3*9</f>
        <v>1.3499999999999999</v>
      </c>
      <c r="F110" s="814">
        <v>17.96</v>
      </c>
      <c r="G110" s="656">
        <f t="shared" si="19"/>
        <v>13.8292</v>
      </c>
      <c r="H110" s="365">
        <f t="shared" si="20"/>
        <v>18.670000000000002</v>
      </c>
    </row>
    <row r="111" spans="1:8" s="658" customFormat="1" ht="71.25" customHeight="1" x14ac:dyDescent="0.2">
      <c r="A111" s="653" t="s">
        <v>12</v>
      </c>
      <c r="B111" s="666" t="s">
        <v>289</v>
      </c>
      <c r="C111" s="362" t="s">
        <v>290</v>
      </c>
      <c r="D111" s="363" t="s">
        <v>68</v>
      </c>
      <c r="E111" s="364">
        <f>(0.4+0.2)*2*0.3*9</f>
        <v>3.24</v>
      </c>
      <c r="F111" s="814">
        <v>118.74</v>
      </c>
      <c r="G111" s="656">
        <f t="shared" si="19"/>
        <v>91.4298</v>
      </c>
      <c r="H111" s="365">
        <f t="shared" si="20"/>
        <v>296.23</v>
      </c>
    </row>
    <row r="112" spans="1:8" s="658" customFormat="1" ht="53.25" customHeight="1" x14ac:dyDescent="0.2">
      <c r="A112" s="653" t="s">
        <v>12</v>
      </c>
      <c r="B112" s="666" t="s">
        <v>275</v>
      </c>
      <c r="C112" s="362" t="s">
        <v>276</v>
      </c>
      <c r="D112" s="363" t="s">
        <v>56</v>
      </c>
      <c r="E112" s="364">
        <f>0.4*0.2*0.3*9</f>
        <v>0.21600000000000003</v>
      </c>
      <c r="F112" s="814">
        <v>545.9</v>
      </c>
      <c r="G112" s="656">
        <f t="shared" si="19"/>
        <v>420.34299999999996</v>
      </c>
      <c r="H112" s="365">
        <f>ROUND(E112*G112,2)</f>
        <v>90.79</v>
      </c>
    </row>
    <row r="113" spans="1:8" s="658" customFormat="1" ht="54.75" customHeight="1" x14ac:dyDescent="0.2">
      <c r="A113" s="653" t="s">
        <v>12</v>
      </c>
      <c r="B113" s="360" t="s">
        <v>115</v>
      </c>
      <c r="C113" s="361" t="s">
        <v>116</v>
      </c>
      <c r="D113" s="654" t="s">
        <v>68</v>
      </c>
      <c r="E113" s="359">
        <f>((0.4+0.2)*2*0.25*9+(22.85*0.5)+(22.85+22.69+0.5+0.5)*0.2)-(0.4*0.2*9)</f>
        <v>22.713000000000001</v>
      </c>
      <c r="F113" s="812">
        <v>171.58</v>
      </c>
      <c r="G113" s="656">
        <f t="shared" si="19"/>
        <v>132.11660000000001</v>
      </c>
      <c r="H113" s="675">
        <f>G113*E113</f>
        <v>3000.7643358</v>
      </c>
    </row>
    <row r="114" spans="1:8" s="658" customFormat="1" ht="71.25" customHeight="1" x14ac:dyDescent="0.2">
      <c r="A114" s="653" t="s">
        <v>12</v>
      </c>
      <c r="B114" s="666" t="s">
        <v>477</v>
      </c>
      <c r="C114" s="362" t="s">
        <v>478</v>
      </c>
      <c r="D114" s="363" t="s">
        <v>141</v>
      </c>
      <c r="E114" s="364">
        <f>0.4*0.2*0.25*9+22.85*0.5*0.2</f>
        <v>2.4650000000000003</v>
      </c>
      <c r="F114" s="814">
        <v>482.75</v>
      </c>
      <c r="G114" s="656">
        <f t="shared" si="19"/>
        <v>371.71749999999997</v>
      </c>
      <c r="H114" s="365">
        <f t="shared" ref="H114:H115" si="21">ROUND(E114*G114,2)</f>
        <v>916.28</v>
      </c>
    </row>
    <row r="115" spans="1:8" s="658" customFormat="1" ht="72" customHeight="1" x14ac:dyDescent="0.2">
      <c r="A115" s="653" t="s">
        <v>12</v>
      </c>
      <c r="B115" s="666" t="s">
        <v>83</v>
      </c>
      <c r="C115" s="362" t="s">
        <v>84</v>
      </c>
      <c r="D115" s="363" t="s">
        <v>67</v>
      </c>
      <c r="E115" s="364">
        <v>110.4</v>
      </c>
      <c r="F115" s="814">
        <v>12.97</v>
      </c>
      <c r="G115" s="656">
        <f t="shared" si="19"/>
        <v>9.9869000000000003</v>
      </c>
      <c r="H115" s="365">
        <f t="shared" si="21"/>
        <v>1102.55</v>
      </c>
    </row>
    <row r="116" spans="1:8" s="658" customFormat="1" ht="71.25" customHeight="1" x14ac:dyDescent="0.2">
      <c r="A116" s="653" t="s">
        <v>12</v>
      </c>
      <c r="B116" s="666" t="s">
        <v>86</v>
      </c>
      <c r="C116" s="362" t="s">
        <v>87</v>
      </c>
      <c r="D116" s="363" t="s">
        <v>67</v>
      </c>
      <c r="E116" s="364">
        <v>52.08</v>
      </c>
      <c r="F116" s="814">
        <v>16.87</v>
      </c>
      <c r="G116" s="656">
        <f t="shared" si="19"/>
        <v>12.9899</v>
      </c>
      <c r="H116" s="365">
        <f>ROUND(E116*G116,2)</f>
        <v>676.51</v>
      </c>
    </row>
    <row r="117" spans="1:8" s="658" customFormat="1" ht="16.5" thickBot="1" x14ac:dyDescent="0.3">
      <c r="A117" s="1093" t="s">
        <v>17</v>
      </c>
      <c r="B117" s="1094"/>
      <c r="C117" s="1094"/>
      <c r="D117" s="1094"/>
      <c r="E117" s="1094"/>
      <c r="F117" s="1094"/>
      <c r="G117" s="1095"/>
      <c r="H117" s="667">
        <f>ROUND(SUM(H109:H116),2)</f>
        <v>6120.34</v>
      </c>
    </row>
    <row r="118" spans="1:8" s="658" customFormat="1" ht="15.75" thickBot="1" x14ac:dyDescent="0.25">
      <c r="A118" s="669"/>
      <c r="B118" s="669"/>
      <c r="C118" s="670"/>
      <c r="D118" s="669"/>
      <c r="E118" s="672"/>
      <c r="F118" s="815"/>
      <c r="G118" s="673"/>
      <c r="H118" s="674"/>
    </row>
    <row r="119" spans="1:8" s="658" customFormat="1" ht="25.5" customHeight="1" x14ac:dyDescent="0.2">
      <c r="A119" s="1087" t="s">
        <v>696</v>
      </c>
      <c r="B119" s="1088"/>
      <c r="C119" s="1088"/>
      <c r="D119" s="1088"/>
      <c r="E119" s="1088"/>
      <c r="F119" s="1088"/>
      <c r="G119" s="1088"/>
      <c r="H119" s="1089"/>
    </row>
    <row r="120" spans="1:8" s="658" customFormat="1" ht="33.75" customHeight="1" x14ac:dyDescent="0.2">
      <c r="A120" s="1090" t="s">
        <v>639</v>
      </c>
      <c r="B120" s="1091"/>
      <c r="C120" s="1091"/>
      <c r="D120" s="1091"/>
      <c r="E120" s="1091"/>
      <c r="F120" s="1091"/>
      <c r="G120" s="1092"/>
      <c r="H120" s="645" t="s">
        <v>254</v>
      </c>
    </row>
    <row r="121" spans="1:8" s="658" customFormat="1" ht="32.25" thickBot="1" x14ac:dyDescent="0.25">
      <c r="A121" s="646" t="s">
        <v>800</v>
      </c>
      <c r="B121" s="647" t="s">
        <v>7</v>
      </c>
      <c r="C121" s="648" t="s">
        <v>16</v>
      </c>
      <c r="D121" s="649" t="s">
        <v>801</v>
      </c>
      <c r="E121" s="650" t="s">
        <v>2</v>
      </c>
      <c r="F121" s="811" t="s">
        <v>802</v>
      </c>
      <c r="G121" s="651" t="s">
        <v>802</v>
      </c>
      <c r="H121" s="652" t="s">
        <v>58</v>
      </c>
    </row>
    <row r="122" spans="1:8" s="658" customFormat="1" ht="15" x14ac:dyDescent="0.2">
      <c r="A122" s="653" t="s">
        <v>516</v>
      </c>
      <c r="B122" s="360" t="s">
        <v>638</v>
      </c>
      <c r="C122" s="361" t="s">
        <v>639</v>
      </c>
      <c r="D122" s="363" t="s">
        <v>124</v>
      </c>
      <c r="E122" s="359">
        <v>1</v>
      </c>
      <c r="F122" s="812">
        <v>3390</v>
      </c>
      <c r="G122" s="656">
        <f t="shared" ref="G122" si="22">F122*$L$8+F122</f>
        <v>2610.3000000000002</v>
      </c>
      <c r="H122" s="365">
        <f t="shared" ref="H122" si="23">ROUND(E122*G122,2)</f>
        <v>2610.3000000000002</v>
      </c>
    </row>
    <row r="123" spans="1:8" s="658" customFormat="1" ht="16.5" thickBot="1" x14ac:dyDescent="0.3">
      <c r="A123" s="1093" t="s">
        <v>17</v>
      </c>
      <c r="B123" s="1094"/>
      <c r="C123" s="1094"/>
      <c r="D123" s="1094"/>
      <c r="E123" s="1094"/>
      <c r="F123" s="1094"/>
      <c r="G123" s="1095"/>
      <c r="H123" s="667">
        <f>SUM(H122:H122)</f>
        <v>2610.3000000000002</v>
      </c>
    </row>
    <row r="124" spans="1:8" s="658" customFormat="1" ht="15.75" thickBot="1" x14ac:dyDescent="0.25">
      <c r="A124" s="669"/>
      <c r="B124" s="669"/>
      <c r="C124" s="670"/>
      <c r="D124" s="669"/>
      <c r="E124" s="672"/>
      <c r="F124" s="815"/>
      <c r="G124" s="673"/>
      <c r="H124" s="674"/>
    </row>
    <row r="125" spans="1:8" s="658" customFormat="1" ht="25.5" customHeight="1" x14ac:dyDescent="0.2">
      <c r="A125" s="1087" t="s">
        <v>711</v>
      </c>
      <c r="B125" s="1088"/>
      <c r="C125" s="1088"/>
      <c r="D125" s="1088"/>
      <c r="E125" s="1088"/>
      <c r="F125" s="1088"/>
      <c r="G125" s="1088"/>
      <c r="H125" s="1089"/>
    </row>
    <row r="126" spans="1:8" s="658" customFormat="1" ht="33.75" customHeight="1" x14ac:dyDescent="0.2">
      <c r="A126" s="1090" t="s">
        <v>641</v>
      </c>
      <c r="B126" s="1091"/>
      <c r="C126" s="1091"/>
      <c r="D126" s="1091"/>
      <c r="E126" s="1091"/>
      <c r="F126" s="1091"/>
      <c r="G126" s="1092"/>
      <c r="H126" s="645" t="s">
        <v>254</v>
      </c>
    </row>
    <row r="127" spans="1:8" s="658" customFormat="1" ht="32.25" thickBot="1" x14ac:dyDescent="0.25">
      <c r="A127" s="646" t="s">
        <v>800</v>
      </c>
      <c r="B127" s="647" t="s">
        <v>7</v>
      </c>
      <c r="C127" s="648" t="s">
        <v>16</v>
      </c>
      <c r="D127" s="649" t="s">
        <v>801</v>
      </c>
      <c r="E127" s="650" t="s">
        <v>2</v>
      </c>
      <c r="F127" s="811" t="s">
        <v>802</v>
      </c>
      <c r="G127" s="651" t="s">
        <v>802</v>
      </c>
      <c r="H127" s="652" t="s">
        <v>58</v>
      </c>
    </row>
    <row r="128" spans="1:8" s="658" customFormat="1" ht="15" x14ac:dyDescent="0.2">
      <c r="A128" s="653" t="s">
        <v>516</v>
      </c>
      <c r="B128" s="360" t="s">
        <v>640</v>
      </c>
      <c r="C128" s="361" t="s">
        <v>641</v>
      </c>
      <c r="D128" s="363" t="s">
        <v>124</v>
      </c>
      <c r="E128" s="359">
        <v>1</v>
      </c>
      <c r="F128" s="812">
        <v>2650</v>
      </c>
      <c r="G128" s="656">
        <f t="shared" ref="G128" si="24">F128*$L$8+F128</f>
        <v>2040.5</v>
      </c>
      <c r="H128" s="365">
        <f t="shared" ref="H128" si="25">ROUND(E128*G128,2)</f>
        <v>2040.5</v>
      </c>
    </row>
    <row r="129" spans="1:8" s="658" customFormat="1" ht="16.5" thickBot="1" x14ac:dyDescent="0.3">
      <c r="A129" s="1093" t="s">
        <v>17</v>
      </c>
      <c r="B129" s="1094"/>
      <c r="C129" s="1094"/>
      <c r="D129" s="1094"/>
      <c r="E129" s="1094"/>
      <c r="F129" s="1094"/>
      <c r="G129" s="1095"/>
      <c r="H129" s="667">
        <f>SUM(H128:H128)</f>
        <v>2040.5</v>
      </c>
    </row>
    <row r="130" spans="1:8" s="658" customFormat="1" ht="15.75" thickBot="1" x14ac:dyDescent="0.25">
      <c r="A130" s="669"/>
      <c r="B130" s="669"/>
      <c r="C130" s="670"/>
      <c r="D130" s="669"/>
      <c r="E130" s="672"/>
      <c r="F130" s="815"/>
      <c r="G130" s="673"/>
      <c r="H130" s="674"/>
    </row>
    <row r="131" spans="1:8" s="658" customFormat="1" ht="25.5" customHeight="1" x14ac:dyDescent="0.2">
      <c r="A131" s="1087" t="s">
        <v>712</v>
      </c>
      <c r="B131" s="1088"/>
      <c r="C131" s="1088"/>
      <c r="D131" s="1088"/>
      <c r="E131" s="1088"/>
      <c r="F131" s="1088"/>
      <c r="G131" s="1088"/>
      <c r="H131" s="1089"/>
    </row>
    <row r="132" spans="1:8" s="658" customFormat="1" ht="33.75" customHeight="1" x14ac:dyDescent="0.2">
      <c r="A132" s="1090" t="s">
        <v>643</v>
      </c>
      <c r="B132" s="1091"/>
      <c r="C132" s="1091"/>
      <c r="D132" s="1091"/>
      <c r="E132" s="1091"/>
      <c r="F132" s="1091"/>
      <c r="G132" s="1092"/>
      <c r="H132" s="645" t="s">
        <v>254</v>
      </c>
    </row>
    <row r="133" spans="1:8" s="658" customFormat="1" ht="32.25" thickBot="1" x14ac:dyDescent="0.25">
      <c r="A133" s="646" t="s">
        <v>800</v>
      </c>
      <c r="B133" s="647" t="s">
        <v>7</v>
      </c>
      <c r="C133" s="648" t="s">
        <v>16</v>
      </c>
      <c r="D133" s="649" t="s">
        <v>801</v>
      </c>
      <c r="E133" s="650" t="s">
        <v>2</v>
      </c>
      <c r="F133" s="811" t="s">
        <v>802</v>
      </c>
      <c r="G133" s="651" t="s">
        <v>802</v>
      </c>
      <c r="H133" s="652" t="s">
        <v>58</v>
      </c>
    </row>
    <row r="134" spans="1:8" s="658" customFormat="1" ht="30" x14ac:dyDescent="0.2">
      <c r="A134" s="653" t="s">
        <v>516</v>
      </c>
      <c r="B134" s="360" t="s">
        <v>642</v>
      </c>
      <c r="C134" s="361" t="s">
        <v>643</v>
      </c>
      <c r="D134" s="363" t="s">
        <v>124</v>
      </c>
      <c r="E134" s="359">
        <v>1</v>
      </c>
      <c r="F134" s="812">
        <v>3500</v>
      </c>
      <c r="G134" s="656">
        <f t="shared" ref="G134" si="26">F134*$L$8+F134</f>
        <v>2695</v>
      </c>
      <c r="H134" s="365">
        <f t="shared" ref="H134" si="27">ROUND(E134*G134,2)</f>
        <v>2695</v>
      </c>
    </row>
    <row r="135" spans="1:8" s="658" customFormat="1" ht="16.5" thickBot="1" x14ac:dyDescent="0.3">
      <c r="A135" s="1093" t="s">
        <v>17</v>
      </c>
      <c r="B135" s="1094"/>
      <c r="C135" s="1094"/>
      <c r="D135" s="1094"/>
      <c r="E135" s="1094"/>
      <c r="F135" s="1094"/>
      <c r="G135" s="1095"/>
      <c r="H135" s="667">
        <f>SUM(H134:H134)</f>
        <v>2695</v>
      </c>
    </row>
    <row r="136" spans="1:8" s="658" customFormat="1" ht="15.75" thickBot="1" x14ac:dyDescent="0.25">
      <c r="A136" s="669"/>
      <c r="B136" s="669"/>
      <c r="C136" s="670"/>
      <c r="D136" s="669"/>
      <c r="E136" s="672"/>
      <c r="F136" s="815"/>
      <c r="G136" s="673"/>
      <c r="H136" s="674"/>
    </row>
    <row r="137" spans="1:8" s="658" customFormat="1" ht="25.5" customHeight="1" x14ac:dyDescent="0.2">
      <c r="A137" s="1087" t="s">
        <v>713</v>
      </c>
      <c r="B137" s="1088"/>
      <c r="C137" s="1088"/>
      <c r="D137" s="1088"/>
      <c r="E137" s="1088"/>
      <c r="F137" s="1088"/>
      <c r="G137" s="1088"/>
      <c r="H137" s="1089"/>
    </row>
    <row r="138" spans="1:8" s="658" customFormat="1" ht="33.75" customHeight="1" x14ac:dyDescent="0.2">
      <c r="A138" s="1090" t="s">
        <v>645</v>
      </c>
      <c r="B138" s="1091"/>
      <c r="C138" s="1091"/>
      <c r="D138" s="1091"/>
      <c r="E138" s="1091"/>
      <c r="F138" s="1091"/>
      <c r="G138" s="1092"/>
      <c r="H138" s="645" t="s">
        <v>254</v>
      </c>
    </row>
    <row r="139" spans="1:8" s="658" customFormat="1" ht="32.25" thickBot="1" x14ac:dyDescent="0.25">
      <c r="A139" s="646" t="s">
        <v>800</v>
      </c>
      <c r="B139" s="647" t="s">
        <v>7</v>
      </c>
      <c r="C139" s="648" t="s">
        <v>16</v>
      </c>
      <c r="D139" s="649" t="s">
        <v>801</v>
      </c>
      <c r="E139" s="650" t="s">
        <v>2</v>
      </c>
      <c r="F139" s="811" t="s">
        <v>802</v>
      </c>
      <c r="G139" s="651" t="s">
        <v>802</v>
      </c>
      <c r="H139" s="652" t="s">
        <v>58</v>
      </c>
    </row>
    <row r="140" spans="1:8" s="658" customFormat="1" ht="30" x14ac:dyDescent="0.2">
      <c r="A140" s="653" t="s">
        <v>516</v>
      </c>
      <c r="B140" s="360" t="s">
        <v>644</v>
      </c>
      <c r="C140" s="361" t="s">
        <v>645</v>
      </c>
      <c r="D140" s="363" t="s">
        <v>124</v>
      </c>
      <c r="E140" s="359">
        <v>1</v>
      </c>
      <c r="F140" s="812">
        <v>3200</v>
      </c>
      <c r="G140" s="656">
        <f t="shared" ref="G140" si="28">F140*$L$8+F140</f>
        <v>2464</v>
      </c>
      <c r="H140" s="365">
        <f t="shared" ref="H140" si="29">ROUND(E140*G140,2)</f>
        <v>2464</v>
      </c>
    </row>
    <row r="141" spans="1:8" s="658" customFormat="1" ht="16.5" thickBot="1" x14ac:dyDescent="0.3">
      <c r="A141" s="1093" t="s">
        <v>17</v>
      </c>
      <c r="B141" s="1094"/>
      <c r="C141" s="1094"/>
      <c r="D141" s="1094"/>
      <c r="E141" s="1094"/>
      <c r="F141" s="1094"/>
      <c r="G141" s="1095"/>
      <c r="H141" s="667">
        <f>SUM(H140:H140)</f>
        <v>2464</v>
      </c>
    </row>
    <row r="142" spans="1:8" s="658" customFormat="1" ht="15.75" thickBot="1" x14ac:dyDescent="0.25">
      <c r="A142" s="669"/>
      <c r="B142" s="669"/>
      <c r="C142" s="670"/>
      <c r="D142" s="669"/>
      <c r="E142" s="672"/>
      <c r="F142" s="815"/>
      <c r="G142" s="673"/>
      <c r="H142" s="674"/>
    </row>
    <row r="143" spans="1:8" s="658" customFormat="1" ht="25.5" customHeight="1" x14ac:dyDescent="0.2">
      <c r="A143" s="1087" t="s">
        <v>697</v>
      </c>
      <c r="B143" s="1088"/>
      <c r="C143" s="1088"/>
      <c r="D143" s="1088"/>
      <c r="E143" s="1088"/>
      <c r="F143" s="1088"/>
      <c r="G143" s="1088"/>
      <c r="H143" s="1089"/>
    </row>
    <row r="144" spans="1:8" s="658" customFormat="1" ht="33.75" customHeight="1" x14ac:dyDescent="0.2">
      <c r="A144" s="1090" t="s">
        <v>647</v>
      </c>
      <c r="B144" s="1091"/>
      <c r="C144" s="1091"/>
      <c r="D144" s="1091"/>
      <c r="E144" s="1091"/>
      <c r="F144" s="1091"/>
      <c r="G144" s="1092"/>
      <c r="H144" s="645" t="s">
        <v>254</v>
      </c>
    </row>
    <row r="145" spans="1:8" s="658" customFormat="1" ht="32.25" thickBot="1" x14ac:dyDescent="0.25">
      <c r="A145" s="646" t="s">
        <v>800</v>
      </c>
      <c r="B145" s="647" t="s">
        <v>7</v>
      </c>
      <c r="C145" s="648" t="s">
        <v>16</v>
      </c>
      <c r="D145" s="649" t="s">
        <v>801</v>
      </c>
      <c r="E145" s="650" t="s">
        <v>2</v>
      </c>
      <c r="F145" s="811" t="s">
        <v>802</v>
      </c>
      <c r="G145" s="651" t="s">
        <v>802</v>
      </c>
      <c r="H145" s="652" t="s">
        <v>58</v>
      </c>
    </row>
    <row r="146" spans="1:8" s="658" customFormat="1" ht="15" x14ac:dyDescent="0.2">
      <c r="A146" s="653" t="s">
        <v>516</v>
      </c>
      <c r="B146" s="360" t="s">
        <v>646</v>
      </c>
      <c r="C146" s="361" t="s">
        <v>647</v>
      </c>
      <c r="D146" s="363" t="s">
        <v>124</v>
      </c>
      <c r="E146" s="359">
        <v>1</v>
      </c>
      <c r="F146" s="812">
        <v>13050</v>
      </c>
      <c r="G146" s="656">
        <f t="shared" ref="G146" si="30">F146*$L$8+F146</f>
        <v>10048.5</v>
      </c>
      <c r="H146" s="365">
        <f t="shared" ref="H146" si="31">ROUND(E146*G146,2)</f>
        <v>10048.5</v>
      </c>
    </row>
    <row r="147" spans="1:8" s="658" customFormat="1" ht="16.5" thickBot="1" x14ac:dyDescent="0.3">
      <c r="A147" s="1093" t="s">
        <v>17</v>
      </c>
      <c r="B147" s="1094"/>
      <c r="C147" s="1094"/>
      <c r="D147" s="1094"/>
      <c r="E147" s="1094"/>
      <c r="F147" s="1094"/>
      <c r="G147" s="1095"/>
      <c r="H147" s="667">
        <f>SUM(H146:H146)</f>
        <v>10048.5</v>
      </c>
    </row>
    <row r="148" spans="1:8" s="658" customFormat="1" ht="15.75" thickBot="1" x14ac:dyDescent="0.25">
      <c r="A148" s="669"/>
      <c r="B148" s="669"/>
      <c r="C148" s="670"/>
      <c r="D148" s="669"/>
      <c r="E148" s="672"/>
      <c r="F148" s="815"/>
      <c r="G148" s="673"/>
      <c r="H148" s="674"/>
    </row>
    <row r="149" spans="1:8" s="658" customFormat="1" ht="26.25" customHeight="1" x14ac:dyDescent="0.2">
      <c r="A149" s="1087" t="s">
        <v>698</v>
      </c>
      <c r="B149" s="1088"/>
      <c r="C149" s="1088"/>
      <c r="D149" s="1088"/>
      <c r="E149" s="1088"/>
      <c r="F149" s="1088"/>
      <c r="G149" s="1088"/>
      <c r="H149" s="1089"/>
    </row>
    <row r="150" spans="1:8" s="658" customFormat="1" ht="42.75" customHeight="1" x14ac:dyDescent="0.2">
      <c r="A150" s="1098" t="s">
        <v>493</v>
      </c>
      <c r="B150" s="1099"/>
      <c r="C150" s="1099"/>
      <c r="D150" s="1099"/>
      <c r="E150" s="1099"/>
      <c r="F150" s="1099"/>
      <c r="G150" s="1100"/>
      <c r="H150" s="645" t="s">
        <v>254</v>
      </c>
    </row>
    <row r="151" spans="1:8" s="658" customFormat="1" ht="32.25" thickBot="1" x14ac:dyDescent="0.25">
      <c r="A151" s="646" t="s">
        <v>800</v>
      </c>
      <c r="B151" s="647" t="s">
        <v>7</v>
      </c>
      <c r="C151" s="648" t="s">
        <v>16</v>
      </c>
      <c r="D151" s="649" t="s">
        <v>801</v>
      </c>
      <c r="E151" s="650" t="s">
        <v>2</v>
      </c>
      <c r="F151" s="811" t="s">
        <v>802</v>
      </c>
      <c r="G151" s="651" t="s">
        <v>802</v>
      </c>
      <c r="H151" s="652" t="s">
        <v>58</v>
      </c>
    </row>
    <row r="152" spans="1:8" s="658" customFormat="1" ht="30" x14ac:dyDescent="0.2">
      <c r="A152" s="653" t="s">
        <v>282</v>
      </c>
      <c r="B152" s="666" t="s">
        <v>593</v>
      </c>
      <c r="C152" s="362" t="s">
        <v>594</v>
      </c>
      <c r="D152" s="363" t="s">
        <v>295</v>
      </c>
      <c r="E152" s="364">
        <v>29.8</v>
      </c>
      <c r="F152" s="814">
        <v>10.27</v>
      </c>
      <c r="G152" s="656">
        <f t="shared" ref="G152:G157" si="32">F152*$L$8+F152</f>
        <v>7.9078999999999997</v>
      </c>
      <c r="H152" s="365">
        <f t="shared" ref="H152:H157" si="33">ROUND(E152*G152,2)</f>
        <v>235.66</v>
      </c>
    </row>
    <row r="153" spans="1:8" s="658" customFormat="1" ht="30" x14ac:dyDescent="0.2">
      <c r="A153" s="653" t="s">
        <v>282</v>
      </c>
      <c r="B153" s="666" t="s">
        <v>595</v>
      </c>
      <c r="C153" s="362" t="s">
        <v>596</v>
      </c>
      <c r="D153" s="363" t="s">
        <v>295</v>
      </c>
      <c r="E153" s="364">
        <v>34.74</v>
      </c>
      <c r="F153" s="814">
        <v>10.32</v>
      </c>
      <c r="G153" s="656">
        <f t="shared" si="32"/>
        <v>7.9464000000000006</v>
      </c>
      <c r="H153" s="365">
        <f t="shared" si="33"/>
        <v>276.06</v>
      </c>
    </row>
    <row r="154" spans="1:8" s="658" customFormat="1" ht="45" x14ac:dyDescent="0.2">
      <c r="A154" s="653" t="s">
        <v>12</v>
      </c>
      <c r="B154" s="666" t="s">
        <v>114</v>
      </c>
      <c r="C154" s="362" t="s">
        <v>304</v>
      </c>
      <c r="D154" s="363" t="s">
        <v>141</v>
      </c>
      <c r="E154" s="364">
        <v>0.34160000000000001</v>
      </c>
      <c r="F154" s="814">
        <v>442.57</v>
      </c>
      <c r="G154" s="656">
        <f t="shared" si="32"/>
        <v>340.77890000000002</v>
      </c>
      <c r="H154" s="365">
        <f t="shared" si="33"/>
        <v>116.41</v>
      </c>
    </row>
    <row r="155" spans="1:8" s="658" customFormat="1" ht="15" x14ac:dyDescent="0.2">
      <c r="A155" s="653" t="s">
        <v>12</v>
      </c>
      <c r="B155" s="666">
        <v>88315</v>
      </c>
      <c r="C155" s="362" t="s">
        <v>139</v>
      </c>
      <c r="D155" s="363" t="s">
        <v>123</v>
      </c>
      <c r="E155" s="364">
        <v>1.7</v>
      </c>
      <c r="F155" s="814">
        <v>21.19</v>
      </c>
      <c r="G155" s="656">
        <f t="shared" si="32"/>
        <v>16.316300000000002</v>
      </c>
      <c r="H155" s="365">
        <f t="shared" si="33"/>
        <v>27.74</v>
      </c>
    </row>
    <row r="156" spans="1:8" s="658" customFormat="1" ht="30" x14ac:dyDescent="0.2">
      <c r="A156" s="653" t="s">
        <v>12</v>
      </c>
      <c r="B156" s="360">
        <v>88251</v>
      </c>
      <c r="C156" s="361" t="s">
        <v>385</v>
      </c>
      <c r="D156" s="654" t="s">
        <v>123</v>
      </c>
      <c r="E156" s="359">
        <v>1.7</v>
      </c>
      <c r="F156" s="812">
        <v>17.5</v>
      </c>
      <c r="G156" s="656">
        <f t="shared" si="32"/>
        <v>13.475</v>
      </c>
      <c r="H156" s="365">
        <f t="shared" si="33"/>
        <v>22.91</v>
      </c>
    </row>
    <row r="157" spans="1:8" s="658" customFormat="1" ht="15" x14ac:dyDescent="0.2">
      <c r="A157" s="653" t="s">
        <v>12</v>
      </c>
      <c r="B157" s="666">
        <v>88317</v>
      </c>
      <c r="C157" s="362" t="s">
        <v>122</v>
      </c>
      <c r="D157" s="363" t="s">
        <v>123</v>
      </c>
      <c r="E157" s="364">
        <v>1.7</v>
      </c>
      <c r="F157" s="814">
        <v>22.01</v>
      </c>
      <c r="G157" s="656">
        <f t="shared" si="32"/>
        <v>16.947700000000001</v>
      </c>
      <c r="H157" s="365">
        <f t="shared" si="33"/>
        <v>28.81</v>
      </c>
    </row>
    <row r="158" spans="1:8" s="658" customFormat="1" ht="16.5" thickBot="1" x14ac:dyDescent="0.3">
      <c r="A158" s="1093" t="s">
        <v>17</v>
      </c>
      <c r="B158" s="1094"/>
      <c r="C158" s="1094"/>
      <c r="D158" s="1094"/>
      <c r="E158" s="1094"/>
      <c r="F158" s="1094"/>
      <c r="G158" s="1095"/>
      <c r="H158" s="667">
        <f>ROUND(SUM(H152:H157),2)</f>
        <v>707.59</v>
      </c>
    </row>
    <row r="159" spans="1:8" s="658" customFormat="1" ht="15.75" thickBot="1" x14ac:dyDescent="0.25">
      <c r="A159" s="669"/>
      <c r="B159" s="669"/>
      <c r="C159" s="670"/>
      <c r="D159" s="669"/>
      <c r="E159" s="672"/>
      <c r="F159" s="815"/>
      <c r="G159" s="673"/>
      <c r="H159" s="674"/>
    </row>
    <row r="160" spans="1:8" s="658" customFormat="1" ht="26.25" customHeight="1" x14ac:dyDescent="0.2">
      <c r="A160" s="1087" t="s">
        <v>699</v>
      </c>
      <c r="B160" s="1088"/>
      <c r="C160" s="1088"/>
      <c r="D160" s="1088"/>
      <c r="E160" s="1088"/>
      <c r="F160" s="1088"/>
      <c r="G160" s="1088"/>
      <c r="H160" s="1089"/>
    </row>
    <row r="161" spans="1:8" s="658" customFormat="1" ht="42.75" customHeight="1" x14ac:dyDescent="0.2">
      <c r="A161" s="1098" t="s">
        <v>494</v>
      </c>
      <c r="B161" s="1099"/>
      <c r="C161" s="1099"/>
      <c r="D161" s="1099"/>
      <c r="E161" s="1099"/>
      <c r="F161" s="1099"/>
      <c r="G161" s="1100"/>
      <c r="H161" s="645" t="s">
        <v>254</v>
      </c>
    </row>
    <row r="162" spans="1:8" s="658" customFormat="1" ht="32.25" thickBot="1" x14ac:dyDescent="0.25">
      <c r="A162" s="646" t="s">
        <v>800</v>
      </c>
      <c r="B162" s="647" t="s">
        <v>7</v>
      </c>
      <c r="C162" s="648" t="s">
        <v>16</v>
      </c>
      <c r="D162" s="649" t="s">
        <v>801</v>
      </c>
      <c r="E162" s="650" t="s">
        <v>2</v>
      </c>
      <c r="F162" s="811" t="s">
        <v>802</v>
      </c>
      <c r="G162" s="651" t="s">
        <v>802</v>
      </c>
      <c r="H162" s="652" t="s">
        <v>58</v>
      </c>
    </row>
    <row r="163" spans="1:8" s="658" customFormat="1" ht="30" x14ac:dyDescent="0.2">
      <c r="A163" s="653" t="s">
        <v>282</v>
      </c>
      <c r="B163" s="666" t="s">
        <v>593</v>
      </c>
      <c r="C163" s="362" t="s">
        <v>594</v>
      </c>
      <c r="D163" s="363" t="s">
        <v>295</v>
      </c>
      <c r="E163" s="364">
        <v>21.25</v>
      </c>
      <c r="F163" s="814">
        <v>10.27</v>
      </c>
      <c r="G163" s="656">
        <f t="shared" ref="G163:G168" si="34">F163*$L$8+F163</f>
        <v>7.9078999999999997</v>
      </c>
      <c r="H163" s="365">
        <f t="shared" ref="H163:H168" si="35">ROUND(E163*G163,2)</f>
        <v>168.04</v>
      </c>
    </row>
    <row r="164" spans="1:8" s="658" customFormat="1" ht="30" x14ac:dyDescent="0.2">
      <c r="A164" s="653" t="s">
        <v>282</v>
      </c>
      <c r="B164" s="666" t="s">
        <v>595</v>
      </c>
      <c r="C164" s="362" t="s">
        <v>596</v>
      </c>
      <c r="D164" s="363" t="s">
        <v>295</v>
      </c>
      <c r="E164" s="364">
        <v>20.347999999999999</v>
      </c>
      <c r="F164" s="814">
        <v>10.32</v>
      </c>
      <c r="G164" s="656">
        <f t="shared" si="34"/>
        <v>7.9464000000000006</v>
      </c>
      <c r="H164" s="365">
        <f t="shared" si="35"/>
        <v>161.69</v>
      </c>
    </row>
    <row r="165" spans="1:8" s="658" customFormat="1" ht="45" x14ac:dyDescent="0.2">
      <c r="A165" s="653" t="s">
        <v>12</v>
      </c>
      <c r="B165" s="666" t="s">
        <v>114</v>
      </c>
      <c r="C165" s="362" t="s">
        <v>304</v>
      </c>
      <c r="D165" s="363" t="s">
        <v>141</v>
      </c>
      <c r="E165" s="364">
        <v>0.24360000000000001</v>
      </c>
      <c r="F165" s="814">
        <v>442.57</v>
      </c>
      <c r="G165" s="656">
        <f t="shared" si="34"/>
        <v>340.77890000000002</v>
      </c>
      <c r="H165" s="365">
        <f t="shared" si="35"/>
        <v>83.01</v>
      </c>
    </row>
    <row r="166" spans="1:8" s="658" customFormat="1" ht="15" x14ac:dyDescent="0.2">
      <c r="A166" s="653" t="s">
        <v>12</v>
      </c>
      <c r="B166" s="666" t="s">
        <v>312</v>
      </c>
      <c r="C166" s="362" t="s">
        <v>139</v>
      </c>
      <c r="D166" s="363" t="s">
        <v>123</v>
      </c>
      <c r="E166" s="364">
        <v>1.5</v>
      </c>
      <c r="F166" s="814">
        <v>21.19</v>
      </c>
      <c r="G166" s="656">
        <f t="shared" si="34"/>
        <v>16.316300000000002</v>
      </c>
      <c r="H166" s="365">
        <f t="shared" si="35"/>
        <v>24.47</v>
      </c>
    </row>
    <row r="167" spans="1:8" s="658" customFormat="1" ht="30" x14ac:dyDescent="0.2">
      <c r="A167" s="653" t="s">
        <v>12</v>
      </c>
      <c r="B167" s="360" t="s">
        <v>597</v>
      </c>
      <c r="C167" s="361" t="s">
        <v>385</v>
      </c>
      <c r="D167" s="654" t="s">
        <v>123</v>
      </c>
      <c r="E167" s="359">
        <v>1.5</v>
      </c>
      <c r="F167" s="812">
        <v>17.5</v>
      </c>
      <c r="G167" s="656">
        <f t="shared" si="34"/>
        <v>13.475</v>
      </c>
      <c r="H167" s="365">
        <f t="shared" si="35"/>
        <v>20.21</v>
      </c>
    </row>
    <row r="168" spans="1:8" s="658" customFormat="1" ht="15" x14ac:dyDescent="0.2">
      <c r="A168" s="653" t="s">
        <v>12</v>
      </c>
      <c r="B168" s="666" t="s">
        <v>291</v>
      </c>
      <c r="C168" s="362" t="s">
        <v>122</v>
      </c>
      <c r="D168" s="363" t="s">
        <v>123</v>
      </c>
      <c r="E168" s="364">
        <v>1.5</v>
      </c>
      <c r="F168" s="814">
        <v>22.01</v>
      </c>
      <c r="G168" s="656">
        <f t="shared" si="34"/>
        <v>16.947700000000001</v>
      </c>
      <c r="H168" s="365">
        <f t="shared" si="35"/>
        <v>25.42</v>
      </c>
    </row>
    <row r="169" spans="1:8" s="658" customFormat="1" ht="16.5" thickBot="1" x14ac:dyDescent="0.3">
      <c r="A169" s="1093" t="s">
        <v>17</v>
      </c>
      <c r="B169" s="1094"/>
      <c r="C169" s="1094"/>
      <c r="D169" s="1094"/>
      <c r="E169" s="1094"/>
      <c r="F169" s="1094"/>
      <c r="G169" s="1095"/>
      <c r="H169" s="667">
        <f>ROUND(SUM(H163:H168),2)</f>
        <v>482.84</v>
      </c>
    </row>
    <row r="170" spans="1:8" s="658" customFormat="1" ht="15.75" thickBot="1" x14ac:dyDescent="0.25">
      <c r="A170" s="669"/>
      <c r="B170" s="669"/>
      <c r="C170" s="670"/>
      <c r="D170" s="669"/>
      <c r="E170" s="672"/>
      <c r="F170" s="815"/>
      <c r="G170" s="673"/>
      <c r="H170" s="674"/>
    </row>
    <row r="171" spans="1:8" s="658" customFormat="1" ht="26.25" customHeight="1" x14ac:dyDescent="0.2">
      <c r="A171" s="1087" t="s">
        <v>700</v>
      </c>
      <c r="B171" s="1088"/>
      <c r="C171" s="1088"/>
      <c r="D171" s="1088"/>
      <c r="E171" s="1088"/>
      <c r="F171" s="1088"/>
      <c r="G171" s="1088"/>
      <c r="H171" s="1089"/>
    </row>
    <row r="172" spans="1:8" s="658" customFormat="1" ht="53.25" customHeight="1" x14ac:dyDescent="0.2">
      <c r="A172" s="1098" t="s">
        <v>310</v>
      </c>
      <c r="B172" s="1099"/>
      <c r="C172" s="1099"/>
      <c r="D172" s="1099"/>
      <c r="E172" s="1099"/>
      <c r="F172" s="1099"/>
      <c r="G172" s="1100"/>
      <c r="H172" s="645" t="s">
        <v>52</v>
      </c>
    </row>
    <row r="173" spans="1:8" s="658" customFormat="1" ht="32.25" thickBot="1" x14ac:dyDescent="0.25">
      <c r="A173" s="646" t="s">
        <v>800</v>
      </c>
      <c r="B173" s="647" t="s">
        <v>7</v>
      </c>
      <c r="C173" s="648" t="s">
        <v>16</v>
      </c>
      <c r="D173" s="649" t="s">
        <v>801</v>
      </c>
      <c r="E173" s="650" t="s">
        <v>2</v>
      </c>
      <c r="F173" s="811" t="s">
        <v>802</v>
      </c>
      <c r="G173" s="651" t="s">
        <v>802</v>
      </c>
      <c r="H173" s="652" t="s">
        <v>58</v>
      </c>
    </row>
    <row r="174" spans="1:8" s="658" customFormat="1" ht="30" x14ac:dyDescent="0.2">
      <c r="A174" s="653" t="s">
        <v>12</v>
      </c>
      <c r="B174" s="654" t="s">
        <v>117</v>
      </c>
      <c r="C174" s="513" t="s">
        <v>298</v>
      </c>
      <c r="D174" s="366" t="s">
        <v>141</v>
      </c>
      <c r="E174" s="366">
        <f>0.5*0.37*1</f>
        <v>0.185</v>
      </c>
      <c r="F174" s="816">
        <v>67.599999999999994</v>
      </c>
      <c r="G174" s="656">
        <f t="shared" ref="G174:G186" si="36">F174*$L$8+F174</f>
        <v>52.051999999999992</v>
      </c>
      <c r="H174" s="365">
        <f t="shared" ref="H174:H186" si="37">ROUND(E174*G174,2)</f>
        <v>9.6300000000000008</v>
      </c>
    </row>
    <row r="175" spans="1:8" s="658" customFormat="1" ht="51.75" customHeight="1" x14ac:dyDescent="0.2">
      <c r="A175" s="653" t="s">
        <v>12</v>
      </c>
      <c r="B175" s="654" t="s">
        <v>126</v>
      </c>
      <c r="C175" s="513" t="s">
        <v>299</v>
      </c>
      <c r="D175" s="366" t="s">
        <v>69</v>
      </c>
      <c r="E175" s="366">
        <f>0.5</f>
        <v>0.5</v>
      </c>
      <c r="F175" s="816">
        <v>17.350000000000001</v>
      </c>
      <c r="G175" s="656">
        <f t="shared" si="36"/>
        <v>13.359500000000001</v>
      </c>
      <c r="H175" s="365">
        <f t="shared" si="37"/>
        <v>6.68</v>
      </c>
    </row>
    <row r="176" spans="1:8" s="658" customFormat="1" ht="68.25" customHeight="1" x14ac:dyDescent="0.2">
      <c r="A176" s="653" t="s">
        <v>12</v>
      </c>
      <c r="B176" s="654">
        <v>94963</v>
      </c>
      <c r="C176" s="513" t="s">
        <v>304</v>
      </c>
      <c r="D176" s="366" t="s">
        <v>5</v>
      </c>
      <c r="E176" s="366">
        <f>0.4*0.04+(0.34+0.35)*0.05</f>
        <v>5.0499999999999996E-2</v>
      </c>
      <c r="F176" s="816">
        <v>442.57</v>
      </c>
      <c r="G176" s="656">
        <f t="shared" si="36"/>
        <v>340.77890000000002</v>
      </c>
      <c r="H176" s="365">
        <f t="shared" si="37"/>
        <v>17.21</v>
      </c>
    </row>
    <row r="177" spans="1:8" s="658" customFormat="1" ht="50.25" customHeight="1" x14ac:dyDescent="0.2">
      <c r="A177" s="653" t="s">
        <v>12</v>
      </c>
      <c r="B177" s="654">
        <v>87373</v>
      </c>
      <c r="C177" s="513" t="s">
        <v>305</v>
      </c>
      <c r="D177" s="366" t="s">
        <v>5</v>
      </c>
      <c r="E177" s="366">
        <f>(0.25+0.4+0.25)*0.015</f>
        <v>1.35E-2</v>
      </c>
      <c r="F177" s="816">
        <v>717.91</v>
      </c>
      <c r="G177" s="656">
        <f t="shared" si="36"/>
        <v>552.79070000000002</v>
      </c>
      <c r="H177" s="365">
        <f t="shared" si="37"/>
        <v>7.46</v>
      </c>
    </row>
    <row r="178" spans="1:8" s="658" customFormat="1" ht="65.25" customHeight="1" x14ac:dyDescent="0.2">
      <c r="A178" s="653" t="s">
        <v>12</v>
      </c>
      <c r="B178" s="654" t="s">
        <v>300</v>
      </c>
      <c r="C178" s="513" t="s">
        <v>306</v>
      </c>
      <c r="D178" s="366" t="s">
        <v>69</v>
      </c>
      <c r="E178" s="366">
        <f>(0.25+0.4+0.25)</f>
        <v>0.9</v>
      </c>
      <c r="F178" s="816">
        <v>164.27</v>
      </c>
      <c r="G178" s="656">
        <f t="shared" si="36"/>
        <v>126.4879</v>
      </c>
      <c r="H178" s="365">
        <f t="shared" si="37"/>
        <v>113.84</v>
      </c>
    </row>
    <row r="179" spans="1:8" s="658" customFormat="1" ht="33.75" customHeight="1" x14ac:dyDescent="0.2">
      <c r="A179" s="653" t="s">
        <v>12</v>
      </c>
      <c r="B179" s="654">
        <v>88262</v>
      </c>
      <c r="C179" s="513" t="s">
        <v>128</v>
      </c>
      <c r="D179" s="366" t="s">
        <v>59</v>
      </c>
      <c r="E179" s="366">
        <v>1.59</v>
      </c>
      <c r="F179" s="817">
        <v>21.07</v>
      </c>
      <c r="G179" s="656">
        <f t="shared" si="36"/>
        <v>16.2239</v>
      </c>
      <c r="H179" s="365">
        <f t="shared" si="37"/>
        <v>25.8</v>
      </c>
    </row>
    <row r="180" spans="1:8" s="658" customFormat="1" ht="43.5" customHeight="1" x14ac:dyDescent="0.2">
      <c r="A180" s="653" t="s">
        <v>12</v>
      </c>
      <c r="B180" s="654">
        <v>88251</v>
      </c>
      <c r="C180" s="655" t="s">
        <v>385</v>
      </c>
      <c r="D180" s="654" t="s">
        <v>123</v>
      </c>
      <c r="E180" s="366">
        <v>0.9</v>
      </c>
      <c r="F180" s="817">
        <v>17.5</v>
      </c>
      <c r="G180" s="656">
        <f t="shared" si="36"/>
        <v>13.475</v>
      </c>
      <c r="H180" s="365">
        <f t="shared" si="37"/>
        <v>12.13</v>
      </c>
    </row>
    <row r="181" spans="1:8" s="658" customFormat="1" ht="21.75" customHeight="1" x14ac:dyDescent="0.2">
      <c r="A181" s="653" t="s">
        <v>12</v>
      </c>
      <c r="B181" s="654">
        <v>88316</v>
      </c>
      <c r="C181" s="513" t="s">
        <v>93</v>
      </c>
      <c r="D181" s="654" t="s">
        <v>123</v>
      </c>
      <c r="E181" s="366">
        <v>2.4900000000000002</v>
      </c>
      <c r="F181" s="817">
        <v>17.09</v>
      </c>
      <c r="G181" s="656">
        <f t="shared" si="36"/>
        <v>13.1593</v>
      </c>
      <c r="H181" s="365">
        <f t="shared" si="37"/>
        <v>32.770000000000003</v>
      </c>
    </row>
    <row r="182" spans="1:8" s="658" customFormat="1" ht="30" x14ac:dyDescent="0.2">
      <c r="A182" s="653" t="s">
        <v>282</v>
      </c>
      <c r="B182" s="676" t="s">
        <v>301</v>
      </c>
      <c r="C182" s="513" t="s">
        <v>307</v>
      </c>
      <c r="D182" s="366" t="s">
        <v>130</v>
      </c>
      <c r="E182" s="366">
        <v>1.272</v>
      </c>
      <c r="F182" s="817">
        <v>9.49</v>
      </c>
      <c r="G182" s="656">
        <f t="shared" si="36"/>
        <v>7.3072999999999997</v>
      </c>
      <c r="H182" s="365">
        <f t="shared" si="37"/>
        <v>9.2899999999999991</v>
      </c>
    </row>
    <row r="183" spans="1:8" s="658" customFormat="1" ht="30" x14ac:dyDescent="0.2">
      <c r="A183" s="653" t="s">
        <v>282</v>
      </c>
      <c r="B183" s="514" t="s">
        <v>302</v>
      </c>
      <c r="C183" s="677" t="s">
        <v>308</v>
      </c>
      <c r="D183" s="366" t="s">
        <v>13</v>
      </c>
      <c r="E183" s="515">
        <v>0.66</v>
      </c>
      <c r="F183" s="818">
        <v>4.8099999999999996</v>
      </c>
      <c r="G183" s="656">
        <f t="shared" si="36"/>
        <v>3.7036999999999995</v>
      </c>
      <c r="H183" s="365">
        <f t="shared" si="37"/>
        <v>2.44</v>
      </c>
    </row>
    <row r="184" spans="1:8" s="658" customFormat="1" ht="30" x14ac:dyDescent="0.2">
      <c r="A184" s="653" t="s">
        <v>282</v>
      </c>
      <c r="B184" s="514">
        <v>5061</v>
      </c>
      <c r="C184" s="677" t="s">
        <v>131</v>
      </c>
      <c r="D184" s="654" t="s">
        <v>67</v>
      </c>
      <c r="E184" s="516">
        <v>0.21199999999999999</v>
      </c>
      <c r="F184" s="817">
        <v>19.899999999999999</v>
      </c>
      <c r="G184" s="656">
        <f t="shared" si="36"/>
        <v>15.322999999999999</v>
      </c>
      <c r="H184" s="365">
        <f t="shared" si="37"/>
        <v>3.25</v>
      </c>
    </row>
    <row r="185" spans="1:8" s="658" customFormat="1" ht="45" x14ac:dyDescent="0.2">
      <c r="A185" s="653" t="s">
        <v>282</v>
      </c>
      <c r="B185" s="514" t="s">
        <v>303</v>
      </c>
      <c r="C185" s="677" t="s">
        <v>309</v>
      </c>
      <c r="D185" s="654" t="s">
        <v>123</v>
      </c>
      <c r="E185" s="515">
        <v>1.21</v>
      </c>
      <c r="F185" s="817">
        <v>22.09</v>
      </c>
      <c r="G185" s="656">
        <f t="shared" si="36"/>
        <v>17.0093</v>
      </c>
      <c r="H185" s="365">
        <f t="shared" si="37"/>
        <v>20.58</v>
      </c>
    </row>
    <row r="186" spans="1:8" s="658" customFormat="1" ht="45" x14ac:dyDescent="0.2">
      <c r="A186" s="653" t="s">
        <v>282</v>
      </c>
      <c r="B186" s="514" t="s">
        <v>296</v>
      </c>
      <c r="C186" s="677" t="s">
        <v>297</v>
      </c>
      <c r="D186" s="654" t="s">
        <v>285</v>
      </c>
      <c r="E186" s="515">
        <v>1</v>
      </c>
      <c r="F186" s="817">
        <v>404.65</v>
      </c>
      <c r="G186" s="656">
        <f t="shared" si="36"/>
        <v>311.58049999999997</v>
      </c>
      <c r="H186" s="365">
        <f t="shared" si="37"/>
        <v>311.58</v>
      </c>
    </row>
    <row r="187" spans="1:8" s="658" customFormat="1" ht="16.5" thickBot="1" x14ac:dyDescent="0.3">
      <c r="A187" s="1093" t="s">
        <v>17</v>
      </c>
      <c r="B187" s="1094"/>
      <c r="C187" s="1094"/>
      <c r="D187" s="1094"/>
      <c r="E187" s="1094"/>
      <c r="F187" s="1094"/>
      <c r="G187" s="1095"/>
      <c r="H187" s="667">
        <f>ROUND(SUM(H174:H186),2)</f>
        <v>572.66</v>
      </c>
    </row>
    <row r="188" spans="1:8" s="658" customFormat="1" ht="15.75" thickBot="1" x14ac:dyDescent="0.25">
      <c r="A188" s="669"/>
      <c r="B188" s="669"/>
      <c r="C188" s="670"/>
      <c r="D188" s="669"/>
      <c r="E188" s="672"/>
      <c r="F188" s="815"/>
      <c r="G188" s="673"/>
      <c r="H188" s="674"/>
    </row>
    <row r="189" spans="1:8" s="658" customFormat="1" ht="31.5" customHeight="1" x14ac:dyDescent="0.2">
      <c r="A189" s="690" t="s">
        <v>701</v>
      </c>
      <c r="B189" s="691"/>
      <c r="C189" s="691"/>
      <c r="D189" s="802"/>
      <c r="E189" s="691"/>
      <c r="F189" s="819"/>
      <c r="G189" s="691"/>
      <c r="H189" s="692"/>
    </row>
    <row r="190" spans="1:8" s="658" customFormat="1" ht="53.25" customHeight="1" x14ac:dyDescent="0.2">
      <c r="A190" s="1098" t="s">
        <v>618</v>
      </c>
      <c r="B190" s="1099"/>
      <c r="C190" s="1099"/>
      <c r="D190" s="1099"/>
      <c r="E190" s="1099"/>
      <c r="F190" s="1099"/>
      <c r="G190" s="1100"/>
      <c r="H190" s="645" t="s">
        <v>254</v>
      </c>
    </row>
    <row r="191" spans="1:8" s="658" customFormat="1" ht="32.25" thickBot="1" x14ac:dyDescent="0.25">
      <c r="A191" s="646" t="s">
        <v>800</v>
      </c>
      <c r="B191" s="647" t="s">
        <v>7</v>
      </c>
      <c r="C191" s="648" t="s">
        <v>16</v>
      </c>
      <c r="D191" s="649" t="s">
        <v>801</v>
      </c>
      <c r="E191" s="650" t="s">
        <v>2</v>
      </c>
      <c r="F191" s="811" t="s">
        <v>802</v>
      </c>
      <c r="G191" s="651" t="s">
        <v>802</v>
      </c>
      <c r="H191" s="652" t="s">
        <v>58</v>
      </c>
    </row>
    <row r="192" spans="1:8" s="658" customFormat="1" ht="30" x14ac:dyDescent="0.2">
      <c r="A192" s="653" t="s">
        <v>12</v>
      </c>
      <c r="B192" s="666" t="s">
        <v>598</v>
      </c>
      <c r="C192" s="362" t="s">
        <v>599</v>
      </c>
      <c r="D192" s="363" t="s">
        <v>123</v>
      </c>
      <c r="E192" s="364" t="s">
        <v>600</v>
      </c>
      <c r="F192" s="814">
        <v>20.7</v>
      </c>
      <c r="G192" s="656">
        <f t="shared" ref="G192:G209" si="38">F192*$L$8+F192</f>
        <v>15.939</v>
      </c>
      <c r="H192" s="365">
        <f t="shared" ref="H192:H209" si="39">ROUND(E192*G192,2)</f>
        <v>39.85</v>
      </c>
    </row>
    <row r="193" spans="1:8" s="658" customFormat="1" ht="35.25" customHeight="1" x14ac:dyDescent="0.2">
      <c r="A193" s="653" t="s">
        <v>12</v>
      </c>
      <c r="B193" s="666" t="s">
        <v>601</v>
      </c>
      <c r="C193" s="362" t="s">
        <v>602</v>
      </c>
      <c r="D193" s="363" t="s">
        <v>123</v>
      </c>
      <c r="E193" s="364" t="s">
        <v>600</v>
      </c>
      <c r="F193" s="814">
        <v>38.5</v>
      </c>
      <c r="G193" s="656">
        <f t="shared" si="38"/>
        <v>29.645</v>
      </c>
      <c r="H193" s="365">
        <f t="shared" si="39"/>
        <v>74.11</v>
      </c>
    </row>
    <row r="194" spans="1:8" s="658" customFormat="1" ht="21.75" customHeight="1" x14ac:dyDescent="0.2">
      <c r="A194" s="653" t="s">
        <v>12</v>
      </c>
      <c r="B194" s="666" t="s">
        <v>171</v>
      </c>
      <c r="C194" s="362" t="s">
        <v>93</v>
      </c>
      <c r="D194" s="363" t="s">
        <v>123</v>
      </c>
      <c r="E194" s="364" t="s">
        <v>603</v>
      </c>
      <c r="F194" s="814">
        <v>17.09</v>
      </c>
      <c r="G194" s="656">
        <f t="shared" si="38"/>
        <v>13.1593</v>
      </c>
      <c r="H194" s="365">
        <f t="shared" si="39"/>
        <v>65.8</v>
      </c>
    </row>
    <row r="195" spans="1:8" s="658" customFormat="1" ht="30" x14ac:dyDescent="0.2">
      <c r="A195" s="653" t="s">
        <v>12</v>
      </c>
      <c r="B195" s="666" t="s">
        <v>604</v>
      </c>
      <c r="C195" s="362" t="s">
        <v>605</v>
      </c>
      <c r="D195" s="363" t="s">
        <v>315</v>
      </c>
      <c r="E195" s="364" t="s">
        <v>600</v>
      </c>
      <c r="F195" s="814">
        <v>0.05</v>
      </c>
      <c r="G195" s="656">
        <f t="shared" si="38"/>
        <v>3.85E-2</v>
      </c>
      <c r="H195" s="365">
        <f t="shared" si="39"/>
        <v>0.1</v>
      </c>
    </row>
    <row r="196" spans="1:8" s="658" customFormat="1" ht="75" x14ac:dyDescent="0.2">
      <c r="A196" s="653" t="s">
        <v>282</v>
      </c>
      <c r="B196" s="360" t="s">
        <v>495</v>
      </c>
      <c r="C196" s="361" t="s">
        <v>606</v>
      </c>
      <c r="D196" s="363" t="s">
        <v>285</v>
      </c>
      <c r="E196" s="359">
        <v>2</v>
      </c>
      <c r="F196" s="812">
        <v>4388.76</v>
      </c>
      <c r="G196" s="656">
        <f t="shared" si="38"/>
        <v>3379.3452000000002</v>
      </c>
      <c r="H196" s="365">
        <f t="shared" si="39"/>
        <v>6758.69</v>
      </c>
    </row>
    <row r="197" spans="1:8" s="658" customFormat="1" ht="31.5" customHeight="1" x14ac:dyDescent="0.2">
      <c r="A197" s="653" t="s">
        <v>282</v>
      </c>
      <c r="B197" s="360" t="s">
        <v>497</v>
      </c>
      <c r="C197" s="361" t="s">
        <v>607</v>
      </c>
      <c r="D197" s="363" t="s">
        <v>285</v>
      </c>
      <c r="E197" s="359">
        <v>1</v>
      </c>
      <c r="F197" s="812">
        <v>48.66</v>
      </c>
      <c r="G197" s="656">
        <f t="shared" si="38"/>
        <v>37.468199999999996</v>
      </c>
      <c r="H197" s="365">
        <f t="shared" si="39"/>
        <v>37.47</v>
      </c>
    </row>
    <row r="198" spans="1:8" s="658" customFormat="1" ht="35.25" customHeight="1" x14ac:dyDescent="0.2">
      <c r="A198" s="653" t="s">
        <v>282</v>
      </c>
      <c r="B198" s="360" t="s">
        <v>498</v>
      </c>
      <c r="C198" s="361" t="s">
        <v>608</v>
      </c>
      <c r="D198" s="363" t="s">
        <v>285</v>
      </c>
      <c r="E198" s="359">
        <v>4</v>
      </c>
      <c r="F198" s="812">
        <v>79.16</v>
      </c>
      <c r="G198" s="656">
        <f t="shared" si="38"/>
        <v>60.953199999999995</v>
      </c>
      <c r="H198" s="365">
        <f t="shared" si="39"/>
        <v>243.81</v>
      </c>
    </row>
    <row r="199" spans="1:8" s="658" customFormat="1" ht="35.25" customHeight="1" x14ac:dyDescent="0.2">
      <c r="A199" s="653" t="s">
        <v>282</v>
      </c>
      <c r="B199" s="666" t="s">
        <v>499</v>
      </c>
      <c r="C199" s="362" t="s">
        <v>609</v>
      </c>
      <c r="D199" s="363" t="s">
        <v>285</v>
      </c>
      <c r="E199" s="364">
        <v>1</v>
      </c>
      <c r="F199" s="814">
        <v>94.28</v>
      </c>
      <c r="G199" s="656">
        <f t="shared" si="38"/>
        <v>72.595600000000005</v>
      </c>
      <c r="H199" s="365">
        <f t="shared" si="39"/>
        <v>72.599999999999994</v>
      </c>
    </row>
    <row r="200" spans="1:8" s="658" customFormat="1" ht="15" x14ac:dyDescent="0.2">
      <c r="A200" s="653" t="s">
        <v>282</v>
      </c>
      <c r="B200" s="666" t="s">
        <v>500</v>
      </c>
      <c r="C200" s="362" t="s">
        <v>610</v>
      </c>
      <c r="D200" s="363" t="s">
        <v>285</v>
      </c>
      <c r="E200" s="364">
        <v>11</v>
      </c>
      <c r="F200" s="814">
        <v>87.43</v>
      </c>
      <c r="G200" s="656">
        <f t="shared" si="38"/>
        <v>67.321100000000001</v>
      </c>
      <c r="H200" s="365">
        <f t="shared" si="39"/>
        <v>740.53</v>
      </c>
    </row>
    <row r="201" spans="1:8" s="658" customFormat="1" ht="38.25" customHeight="1" x14ac:dyDescent="0.2">
      <c r="A201" s="653" t="s">
        <v>282</v>
      </c>
      <c r="B201" s="360" t="s">
        <v>501</v>
      </c>
      <c r="C201" s="361" t="s">
        <v>611</v>
      </c>
      <c r="D201" s="363" t="s">
        <v>285</v>
      </c>
      <c r="E201" s="359">
        <v>1</v>
      </c>
      <c r="F201" s="812">
        <v>280.02</v>
      </c>
      <c r="G201" s="656">
        <f t="shared" si="38"/>
        <v>215.61539999999997</v>
      </c>
      <c r="H201" s="365">
        <f t="shared" si="39"/>
        <v>215.62</v>
      </c>
    </row>
    <row r="202" spans="1:8" s="658" customFormat="1" ht="30" x14ac:dyDescent="0.2">
      <c r="A202" s="653" t="s">
        <v>282</v>
      </c>
      <c r="B202" s="666" t="s">
        <v>502</v>
      </c>
      <c r="C202" s="362" t="s">
        <v>612</v>
      </c>
      <c r="D202" s="363" t="s">
        <v>285</v>
      </c>
      <c r="E202" s="364">
        <v>1</v>
      </c>
      <c r="F202" s="814">
        <v>236.13</v>
      </c>
      <c r="G202" s="656">
        <f t="shared" si="38"/>
        <v>181.8201</v>
      </c>
      <c r="H202" s="365">
        <f t="shared" si="39"/>
        <v>181.82</v>
      </c>
    </row>
    <row r="203" spans="1:8" s="658" customFormat="1" ht="30" x14ac:dyDescent="0.2">
      <c r="A203" s="653" t="s">
        <v>12</v>
      </c>
      <c r="B203" s="666" t="s">
        <v>503</v>
      </c>
      <c r="C203" s="362" t="s">
        <v>613</v>
      </c>
      <c r="D203" s="363" t="s">
        <v>124</v>
      </c>
      <c r="E203" s="364">
        <v>2</v>
      </c>
      <c r="F203" s="814">
        <v>346.81</v>
      </c>
      <c r="G203" s="656">
        <f t="shared" si="38"/>
        <v>267.0437</v>
      </c>
      <c r="H203" s="365">
        <f t="shared" si="39"/>
        <v>534.09</v>
      </c>
    </row>
    <row r="204" spans="1:8" s="658" customFormat="1" ht="45" x14ac:dyDescent="0.2">
      <c r="A204" s="653" t="s">
        <v>282</v>
      </c>
      <c r="B204" s="360" t="s">
        <v>504</v>
      </c>
      <c r="C204" s="361" t="s">
        <v>614</v>
      </c>
      <c r="D204" s="363" t="s">
        <v>285</v>
      </c>
      <c r="E204" s="359">
        <v>1</v>
      </c>
      <c r="F204" s="812">
        <v>389.47</v>
      </c>
      <c r="G204" s="656">
        <f t="shared" si="38"/>
        <v>299.89190000000002</v>
      </c>
      <c r="H204" s="365">
        <f t="shared" si="39"/>
        <v>299.89</v>
      </c>
    </row>
    <row r="205" spans="1:8" s="658" customFormat="1" ht="75" x14ac:dyDescent="0.2">
      <c r="A205" s="653" t="s">
        <v>12</v>
      </c>
      <c r="B205" s="666" t="s">
        <v>505</v>
      </c>
      <c r="C205" s="362" t="s">
        <v>506</v>
      </c>
      <c r="D205" s="363" t="s">
        <v>124</v>
      </c>
      <c r="E205" s="364">
        <v>1</v>
      </c>
      <c r="F205" s="814">
        <v>186.14</v>
      </c>
      <c r="G205" s="656">
        <f t="shared" si="38"/>
        <v>143.3278</v>
      </c>
      <c r="H205" s="365">
        <f t="shared" si="39"/>
        <v>143.33000000000001</v>
      </c>
    </row>
    <row r="206" spans="1:8" s="658" customFormat="1" ht="30" x14ac:dyDescent="0.2">
      <c r="A206" s="653" t="s">
        <v>282</v>
      </c>
      <c r="B206" s="666" t="s">
        <v>507</v>
      </c>
      <c r="C206" s="362" t="s">
        <v>615</v>
      </c>
      <c r="D206" s="363" t="s">
        <v>285</v>
      </c>
      <c r="E206" s="364">
        <v>2</v>
      </c>
      <c r="F206" s="814">
        <v>84.21</v>
      </c>
      <c r="G206" s="656">
        <f t="shared" si="38"/>
        <v>64.841700000000003</v>
      </c>
      <c r="H206" s="365">
        <f t="shared" si="39"/>
        <v>129.68</v>
      </c>
    </row>
    <row r="207" spans="1:8" s="658" customFormat="1" ht="30" x14ac:dyDescent="0.2">
      <c r="A207" s="653" t="s">
        <v>282</v>
      </c>
      <c r="B207" s="360" t="s">
        <v>508</v>
      </c>
      <c r="C207" s="361" t="s">
        <v>616</v>
      </c>
      <c r="D207" s="363" t="s">
        <v>285</v>
      </c>
      <c r="E207" s="359">
        <v>2</v>
      </c>
      <c r="F207" s="812">
        <v>263.27999999999997</v>
      </c>
      <c r="G207" s="656">
        <f t="shared" si="38"/>
        <v>202.72559999999999</v>
      </c>
      <c r="H207" s="365">
        <f t="shared" si="39"/>
        <v>405.45</v>
      </c>
    </row>
    <row r="208" spans="1:8" s="658" customFormat="1" ht="24.75" customHeight="1" x14ac:dyDescent="0.2">
      <c r="A208" s="653" t="s">
        <v>282</v>
      </c>
      <c r="B208" s="666" t="s">
        <v>496</v>
      </c>
      <c r="C208" s="362" t="s">
        <v>617</v>
      </c>
      <c r="D208" s="363" t="s">
        <v>292</v>
      </c>
      <c r="E208" s="364">
        <v>2</v>
      </c>
      <c r="F208" s="814">
        <v>123.29</v>
      </c>
      <c r="G208" s="656">
        <f t="shared" si="38"/>
        <v>94.933300000000003</v>
      </c>
      <c r="H208" s="365">
        <f t="shared" si="39"/>
        <v>189.87</v>
      </c>
    </row>
    <row r="209" spans="1:8" s="658" customFormat="1" ht="69" customHeight="1" x14ac:dyDescent="0.2">
      <c r="A209" s="653" t="s">
        <v>12</v>
      </c>
      <c r="B209" s="666" t="s">
        <v>279</v>
      </c>
      <c r="C209" s="362" t="s">
        <v>280</v>
      </c>
      <c r="D209" s="363" t="s">
        <v>69</v>
      </c>
      <c r="E209" s="364">
        <v>0.78</v>
      </c>
      <c r="F209" s="814">
        <v>127.58</v>
      </c>
      <c r="G209" s="656">
        <f t="shared" si="38"/>
        <v>98.236599999999996</v>
      </c>
      <c r="H209" s="365">
        <f t="shared" si="39"/>
        <v>76.62</v>
      </c>
    </row>
    <row r="210" spans="1:8" s="658" customFormat="1" ht="16.5" thickBot="1" x14ac:dyDescent="0.3">
      <c r="A210" s="1093" t="s">
        <v>17</v>
      </c>
      <c r="B210" s="1094"/>
      <c r="C210" s="1094"/>
      <c r="D210" s="1094"/>
      <c r="E210" s="1094"/>
      <c r="F210" s="1094"/>
      <c r="G210" s="1095"/>
      <c r="H210" s="667">
        <f>ROUND(SUM(H192:H209),2)</f>
        <v>10209.33</v>
      </c>
    </row>
    <row r="211" spans="1:8" s="658" customFormat="1" ht="15.75" thickBot="1" x14ac:dyDescent="0.25">
      <c r="A211" s="669"/>
      <c r="B211" s="669"/>
      <c r="C211" s="670"/>
      <c r="D211" s="669"/>
      <c r="E211" s="672"/>
      <c r="F211" s="815"/>
      <c r="G211" s="673"/>
      <c r="H211" s="674"/>
    </row>
    <row r="212" spans="1:8" s="658" customFormat="1" ht="26.25" customHeight="1" x14ac:dyDescent="0.2">
      <c r="A212" s="1087" t="s">
        <v>702</v>
      </c>
      <c r="B212" s="1088"/>
      <c r="C212" s="1088"/>
      <c r="D212" s="1088"/>
      <c r="E212" s="1088"/>
      <c r="F212" s="1088"/>
      <c r="G212" s="1088"/>
      <c r="H212" s="1089"/>
    </row>
    <row r="213" spans="1:8" s="658" customFormat="1" ht="59.25" customHeight="1" x14ac:dyDescent="0.2">
      <c r="A213" s="1098" t="s">
        <v>941</v>
      </c>
      <c r="B213" s="1099"/>
      <c r="C213" s="1099"/>
      <c r="D213" s="1099"/>
      <c r="E213" s="1099"/>
      <c r="F213" s="1099"/>
      <c r="G213" s="1100"/>
      <c r="H213" s="645" t="s">
        <v>254</v>
      </c>
    </row>
    <row r="214" spans="1:8" s="658" customFormat="1" ht="32.25" thickBot="1" x14ac:dyDescent="0.25">
      <c r="A214" s="646" t="s">
        <v>800</v>
      </c>
      <c r="B214" s="647" t="s">
        <v>7</v>
      </c>
      <c r="C214" s="648" t="s">
        <v>16</v>
      </c>
      <c r="D214" s="649" t="s">
        <v>801</v>
      </c>
      <c r="E214" s="650" t="s">
        <v>2</v>
      </c>
      <c r="F214" s="811" t="s">
        <v>802</v>
      </c>
      <c r="G214" s="651" t="s">
        <v>802</v>
      </c>
      <c r="H214" s="652" t="s">
        <v>58</v>
      </c>
    </row>
    <row r="215" spans="1:8" s="658" customFormat="1" ht="65.25" customHeight="1" x14ac:dyDescent="0.2">
      <c r="A215" s="653" t="s">
        <v>282</v>
      </c>
      <c r="B215" s="666" t="s">
        <v>513</v>
      </c>
      <c r="C215" s="362" t="s">
        <v>940</v>
      </c>
      <c r="D215" s="363" t="s">
        <v>285</v>
      </c>
      <c r="E215" s="364">
        <v>1</v>
      </c>
      <c r="F215" s="814">
        <v>8708.2900000000009</v>
      </c>
      <c r="G215" s="656">
        <f t="shared" ref="G215:G218" si="40">F215*$L$8+F215</f>
        <v>6705.3833000000004</v>
      </c>
      <c r="H215" s="365">
        <f t="shared" ref="H215:H218" si="41">ROUND(E215*G215,2)</f>
        <v>6705.38</v>
      </c>
    </row>
    <row r="216" spans="1:8" s="658" customFormat="1" ht="30" x14ac:dyDescent="0.2">
      <c r="A216" s="653" t="s">
        <v>12</v>
      </c>
      <c r="B216" s="666" t="s">
        <v>598</v>
      </c>
      <c r="C216" s="362" t="s">
        <v>599</v>
      </c>
      <c r="D216" s="363" t="s">
        <v>123</v>
      </c>
      <c r="E216" s="364">
        <v>1.5</v>
      </c>
      <c r="F216" s="814">
        <v>20.7</v>
      </c>
      <c r="G216" s="656">
        <f t="shared" si="40"/>
        <v>15.939</v>
      </c>
      <c r="H216" s="365">
        <f t="shared" si="41"/>
        <v>23.91</v>
      </c>
    </row>
    <row r="217" spans="1:8" s="658" customFormat="1" ht="15" x14ac:dyDescent="0.2">
      <c r="A217" s="653" t="s">
        <v>12</v>
      </c>
      <c r="B217" s="666" t="s">
        <v>347</v>
      </c>
      <c r="C217" s="362" t="s">
        <v>348</v>
      </c>
      <c r="D217" s="363" t="s">
        <v>123</v>
      </c>
      <c r="E217" s="364">
        <v>1.5</v>
      </c>
      <c r="F217" s="814">
        <v>21.52</v>
      </c>
      <c r="G217" s="656">
        <f t="shared" si="40"/>
        <v>16.570399999999999</v>
      </c>
      <c r="H217" s="365">
        <f t="shared" si="41"/>
        <v>24.86</v>
      </c>
    </row>
    <row r="218" spans="1:8" s="658" customFormat="1" ht="15" x14ac:dyDescent="0.2">
      <c r="A218" s="653" t="s">
        <v>12</v>
      </c>
      <c r="B218" s="666" t="s">
        <v>171</v>
      </c>
      <c r="C218" s="362" t="s">
        <v>93</v>
      </c>
      <c r="D218" s="363" t="s">
        <v>123</v>
      </c>
      <c r="E218" s="364">
        <v>3</v>
      </c>
      <c r="F218" s="814">
        <v>17.09</v>
      </c>
      <c r="G218" s="656">
        <f t="shared" si="40"/>
        <v>13.1593</v>
      </c>
      <c r="H218" s="365">
        <f t="shared" si="41"/>
        <v>39.479999999999997</v>
      </c>
    </row>
    <row r="219" spans="1:8" s="658" customFormat="1" ht="16.5" thickBot="1" x14ac:dyDescent="0.3">
      <c r="A219" s="1093" t="s">
        <v>17</v>
      </c>
      <c r="B219" s="1094"/>
      <c r="C219" s="1094"/>
      <c r="D219" s="1094"/>
      <c r="E219" s="1094"/>
      <c r="F219" s="1094"/>
      <c r="G219" s="1095"/>
      <c r="H219" s="667">
        <f>ROUND(SUM(H215:H218),2)</f>
        <v>6793.63</v>
      </c>
    </row>
    <row r="220" spans="1:8" s="658" customFormat="1" ht="15.75" thickBot="1" x14ac:dyDescent="0.25">
      <c r="A220" s="669"/>
      <c r="B220" s="669"/>
      <c r="C220" s="670"/>
      <c r="D220" s="669"/>
      <c r="E220" s="672"/>
      <c r="F220" s="815"/>
      <c r="G220" s="673"/>
      <c r="H220" s="674"/>
    </row>
    <row r="221" spans="1:8" s="658" customFormat="1" ht="26.25" customHeight="1" x14ac:dyDescent="0.2">
      <c r="A221" s="1087" t="s">
        <v>703</v>
      </c>
      <c r="B221" s="1088"/>
      <c r="C221" s="1088"/>
      <c r="D221" s="1088"/>
      <c r="E221" s="1088"/>
      <c r="F221" s="1088"/>
      <c r="G221" s="1088"/>
      <c r="H221" s="1089"/>
    </row>
    <row r="222" spans="1:8" s="658" customFormat="1" ht="42.75" customHeight="1" x14ac:dyDescent="0.2">
      <c r="A222" s="1090" t="s">
        <v>945</v>
      </c>
      <c r="B222" s="1091"/>
      <c r="C222" s="1091"/>
      <c r="D222" s="1091"/>
      <c r="E222" s="1091"/>
      <c r="F222" s="1091"/>
      <c r="G222" s="1092"/>
      <c r="H222" s="645" t="s">
        <v>254</v>
      </c>
    </row>
    <row r="223" spans="1:8" s="658" customFormat="1" ht="32.25" thickBot="1" x14ac:dyDescent="0.25">
      <c r="A223" s="646" t="s">
        <v>800</v>
      </c>
      <c r="B223" s="647" t="s">
        <v>7</v>
      </c>
      <c r="C223" s="648" t="s">
        <v>16</v>
      </c>
      <c r="D223" s="649" t="s">
        <v>801</v>
      </c>
      <c r="E223" s="650" t="s">
        <v>2</v>
      </c>
      <c r="F223" s="811" t="s">
        <v>802</v>
      </c>
      <c r="G223" s="651" t="s">
        <v>802</v>
      </c>
      <c r="H223" s="652" t="s">
        <v>58</v>
      </c>
    </row>
    <row r="224" spans="1:8" s="658" customFormat="1" ht="35.25" customHeight="1" x14ac:dyDescent="0.2">
      <c r="A224" s="653" t="s">
        <v>282</v>
      </c>
      <c r="B224" s="666" t="s">
        <v>514</v>
      </c>
      <c r="C224" s="362" t="s">
        <v>515</v>
      </c>
      <c r="D224" s="346" t="s">
        <v>801</v>
      </c>
      <c r="E224" s="364">
        <v>1</v>
      </c>
      <c r="F224" s="814">
        <v>19.16</v>
      </c>
      <c r="G224" s="656">
        <f t="shared" ref="G224:G227" si="42">F224*$L$8+F224</f>
        <v>14.7532</v>
      </c>
      <c r="H224" s="365">
        <f t="shared" ref="H224:H227" si="43">ROUND(E224*G224,2)</f>
        <v>14.75</v>
      </c>
    </row>
    <row r="225" spans="1:8" s="658" customFormat="1" ht="35.25" customHeight="1" x14ac:dyDescent="0.2">
      <c r="A225" s="653" t="s">
        <v>12</v>
      </c>
      <c r="B225" s="666" t="s">
        <v>946</v>
      </c>
      <c r="C225" s="362" t="s">
        <v>947</v>
      </c>
      <c r="D225" s="363" t="s">
        <v>123</v>
      </c>
      <c r="E225" s="364">
        <v>0.11</v>
      </c>
      <c r="F225" s="814">
        <v>16.989999999999998</v>
      </c>
      <c r="G225" s="656">
        <f t="shared" si="42"/>
        <v>13.082299999999998</v>
      </c>
      <c r="H225" s="365">
        <f t="shared" si="43"/>
        <v>1.44</v>
      </c>
    </row>
    <row r="226" spans="1:8" s="658" customFormat="1" ht="36.75" customHeight="1" x14ac:dyDescent="0.2">
      <c r="A226" s="653" t="s">
        <v>12</v>
      </c>
      <c r="B226" s="666" t="s">
        <v>598</v>
      </c>
      <c r="C226" s="362" t="s">
        <v>948</v>
      </c>
      <c r="D226" s="363" t="s">
        <v>123</v>
      </c>
      <c r="E226" s="364">
        <v>0.11</v>
      </c>
      <c r="F226" s="814">
        <v>20.7</v>
      </c>
      <c r="G226" s="656">
        <f t="shared" si="42"/>
        <v>15.939</v>
      </c>
      <c r="H226" s="365">
        <f t="shared" si="43"/>
        <v>1.75</v>
      </c>
    </row>
    <row r="227" spans="1:8" s="658" customFormat="1" ht="51" customHeight="1" x14ac:dyDescent="0.2">
      <c r="A227" s="676" t="s">
        <v>12</v>
      </c>
      <c r="B227" s="666" t="s">
        <v>950</v>
      </c>
      <c r="C227" s="362" t="s">
        <v>949</v>
      </c>
      <c r="D227" s="363" t="s">
        <v>56</v>
      </c>
      <c r="E227" s="364">
        <v>1.5599999999999999E-2</v>
      </c>
      <c r="F227" s="814">
        <v>679.05</v>
      </c>
      <c r="G227" s="656">
        <f t="shared" si="42"/>
        <v>522.86849999999993</v>
      </c>
      <c r="H227" s="365">
        <f t="shared" si="43"/>
        <v>8.16</v>
      </c>
    </row>
    <row r="228" spans="1:8" s="658" customFormat="1" ht="16.5" thickBot="1" x14ac:dyDescent="0.3">
      <c r="A228" s="1093" t="s">
        <v>17</v>
      </c>
      <c r="B228" s="1094"/>
      <c r="C228" s="1094"/>
      <c r="D228" s="1094"/>
      <c r="E228" s="1094"/>
      <c r="F228" s="1094"/>
      <c r="G228" s="1095"/>
      <c r="H228" s="667">
        <f>ROUND(SUM(H224:H227),2)</f>
        <v>26.1</v>
      </c>
    </row>
    <row r="229" spans="1:8" s="658" customFormat="1" ht="15.75" thickBot="1" x14ac:dyDescent="0.25">
      <c r="A229" s="669"/>
      <c r="B229" s="669"/>
      <c r="C229" s="670"/>
      <c r="D229" s="669"/>
      <c r="E229" s="672"/>
      <c r="F229" s="815"/>
      <c r="G229" s="673"/>
      <c r="H229" s="674"/>
    </row>
    <row r="230" spans="1:8" s="658" customFormat="1" ht="26.25" customHeight="1" x14ac:dyDescent="0.2">
      <c r="A230" s="1087" t="s">
        <v>704</v>
      </c>
      <c r="B230" s="1088"/>
      <c r="C230" s="1088"/>
      <c r="D230" s="1088"/>
      <c r="E230" s="1088"/>
      <c r="F230" s="1088"/>
      <c r="G230" s="1088"/>
      <c r="H230" s="1089"/>
    </row>
    <row r="231" spans="1:8" s="658" customFormat="1" ht="42.75" customHeight="1" x14ac:dyDescent="0.2">
      <c r="A231" s="1090" t="s">
        <v>815</v>
      </c>
      <c r="B231" s="1091"/>
      <c r="C231" s="1091"/>
      <c r="D231" s="1091"/>
      <c r="E231" s="1091"/>
      <c r="F231" s="1091"/>
      <c r="G231" s="1092"/>
      <c r="H231" s="645" t="s">
        <v>254</v>
      </c>
    </row>
    <row r="232" spans="1:8" s="658" customFormat="1" ht="32.25" thickBot="1" x14ac:dyDescent="0.25">
      <c r="A232" s="646" t="s">
        <v>800</v>
      </c>
      <c r="B232" s="647" t="s">
        <v>7</v>
      </c>
      <c r="C232" s="648" t="s">
        <v>16</v>
      </c>
      <c r="D232" s="649" t="s">
        <v>801</v>
      </c>
      <c r="E232" s="650" t="s">
        <v>2</v>
      </c>
      <c r="F232" s="811" t="s">
        <v>802</v>
      </c>
      <c r="G232" s="651" t="s">
        <v>802</v>
      </c>
      <c r="H232" s="652" t="s">
        <v>58</v>
      </c>
    </row>
    <row r="233" spans="1:8" s="658" customFormat="1" ht="30" x14ac:dyDescent="0.2">
      <c r="A233" s="653" t="s">
        <v>12</v>
      </c>
      <c r="B233" s="666" t="s">
        <v>598</v>
      </c>
      <c r="C233" s="362" t="s">
        <v>599</v>
      </c>
      <c r="D233" s="363" t="s">
        <v>123</v>
      </c>
      <c r="E233" s="364">
        <v>1</v>
      </c>
      <c r="F233" s="814">
        <v>20.7</v>
      </c>
      <c r="G233" s="656">
        <f t="shared" ref="G233:G235" si="44">F233*$L$8+F233</f>
        <v>15.939</v>
      </c>
      <c r="H233" s="365">
        <f t="shared" ref="H233:H235" si="45">ROUND(E233*G233,2)</f>
        <v>15.94</v>
      </c>
    </row>
    <row r="234" spans="1:8" s="658" customFormat="1" ht="15" x14ac:dyDescent="0.2">
      <c r="A234" s="653" t="s">
        <v>12</v>
      </c>
      <c r="B234" s="666" t="s">
        <v>171</v>
      </c>
      <c r="C234" s="362" t="s">
        <v>93</v>
      </c>
      <c r="D234" s="363" t="s">
        <v>123</v>
      </c>
      <c r="E234" s="364">
        <v>1</v>
      </c>
      <c r="F234" s="814">
        <v>17.09</v>
      </c>
      <c r="G234" s="656">
        <f t="shared" si="44"/>
        <v>13.1593</v>
      </c>
      <c r="H234" s="365">
        <f t="shared" si="45"/>
        <v>13.16</v>
      </c>
    </row>
    <row r="235" spans="1:8" s="658" customFormat="1" ht="15" x14ac:dyDescent="0.2">
      <c r="A235" s="653" t="s">
        <v>772</v>
      </c>
      <c r="B235" s="666" t="s">
        <v>517</v>
      </c>
      <c r="C235" s="362" t="s">
        <v>816</v>
      </c>
      <c r="D235" s="346" t="s">
        <v>801</v>
      </c>
      <c r="E235" s="364">
        <v>1</v>
      </c>
      <c r="F235" s="814">
        <v>2450</v>
      </c>
      <c r="G235" s="656">
        <f t="shared" si="44"/>
        <v>1886.5</v>
      </c>
      <c r="H235" s="365">
        <f t="shared" si="45"/>
        <v>1886.5</v>
      </c>
    </row>
    <row r="236" spans="1:8" s="658" customFormat="1" ht="16.5" thickBot="1" x14ac:dyDescent="0.3">
      <c r="A236" s="1093" t="s">
        <v>17</v>
      </c>
      <c r="B236" s="1094"/>
      <c r="C236" s="1094"/>
      <c r="D236" s="1094"/>
      <c r="E236" s="1094"/>
      <c r="F236" s="1094"/>
      <c r="G236" s="1095"/>
      <c r="H236" s="667">
        <f>ROUND(SUM(H233:H235),2)</f>
        <v>1915.6</v>
      </c>
    </row>
    <row r="237" spans="1:8" s="658" customFormat="1" ht="15.75" thickBot="1" x14ac:dyDescent="0.25">
      <c r="A237" s="669"/>
      <c r="B237" s="669"/>
      <c r="C237" s="670"/>
      <c r="D237" s="669"/>
      <c r="E237" s="672"/>
      <c r="F237" s="815"/>
      <c r="G237" s="673"/>
      <c r="H237" s="674"/>
    </row>
    <row r="238" spans="1:8" s="658" customFormat="1" ht="26.25" customHeight="1" x14ac:dyDescent="0.2">
      <c r="A238" s="1087" t="s">
        <v>705</v>
      </c>
      <c r="B238" s="1088"/>
      <c r="C238" s="1088"/>
      <c r="D238" s="1088"/>
      <c r="E238" s="1088"/>
      <c r="F238" s="1088"/>
      <c r="G238" s="1088"/>
      <c r="H238" s="1089"/>
    </row>
    <row r="239" spans="1:8" s="658" customFormat="1" ht="42.75" customHeight="1" x14ac:dyDescent="0.2">
      <c r="A239" s="1090" t="s">
        <v>817</v>
      </c>
      <c r="B239" s="1091"/>
      <c r="C239" s="1091"/>
      <c r="D239" s="1091"/>
      <c r="E239" s="1091"/>
      <c r="F239" s="1091"/>
      <c r="G239" s="1092"/>
      <c r="H239" s="645" t="s">
        <v>254</v>
      </c>
    </row>
    <row r="240" spans="1:8" s="658" customFormat="1" ht="32.25" thickBot="1" x14ac:dyDescent="0.25">
      <c r="A240" s="646" t="s">
        <v>800</v>
      </c>
      <c r="B240" s="647" t="s">
        <v>7</v>
      </c>
      <c r="C240" s="648" t="s">
        <v>16</v>
      </c>
      <c r="D240" s="649" t="s">
        <v>801</v>
      </c>
      <c r="E240" s="650" t="s">
        <v>2</v>
      </c>
      <c r="F240" s="811" t="s">
        <v>802</v>
      </c>
      <c r="G240" s="651" t="s">
        <v>802</v>
      </c>
      <c r="H240" s="652" t="s">
        <v>58</v>
      </c>
    </row>
    <row r="241" spans="1:8" s="658" customFormat="1" ht="30" x14ac:dyDescent="0.2">
      <c r="A241" s="653" t="s">
        <v>12</v>
      </c>
      <c r="B241" s="666" t="s">
        <v>598</v>
      </c>
      <c r="C241" s="362" t="s">
        <v>599</v>
      </c>
      <c r="D241" s="363" t="s">
        <v>123</v>
      </c>
      <c r="E241" s="364">
        <v>1</v>
      </c>
      <c r="F241" s="814">
        <v>20.7</v>
      </c>
      <c r="G241" s="656">
        <f t="shared" ref="G241:G244" si="46">F241*$L$8+F241</f>
        <v>15.939</v>
      </c>
      <c r="H241" s="365">
        <f t="shared" ref="H241:H244" si="47">ROUND(E241*G241,2)</f>
        <v>15.94</v>
      </c>
    </row>
    <row r="242" spans="1:8" s="658" customFormat="1" ht="15" x14ac:dyDescent="0.2">
      <c r="A242" s="653" t="s">
        <v>12</v>
      </c>
      <c r="B242" s="666" t="s">
        <v>171</v>
      </c>
      <c r="C242" s="362" t="s">
        <v>93</v>
      </c>
      <c r="D242" s="363" t="s">
        <v>123</v>
      </c>
      <c r="E242" s="364">
        <v>1</v>
      </c>
      <c r="F242" s="814">
        <v>17.09</v>
      </c>
      <c r="G242" s="656">
        <f t="shared" si="46"/>
        <v>13.1593</v>
      </c>
      <c r="H242" s="365">
        <f t="shared" si="47"/>
        <v>13.16</v>
      </c>
    </row>
    <row r="243" spans="1:8" s="658" customFormat="1" ht="15" x14ac:dyDescent="0.2">
      <c r="A243" s="653" t="s">
        <v>772</v>
      </c>
      <c r="B243" s="666" t="s">
        <v>518</v>
      </c>
      <c r="C243" s="362" t="s">
        <v>519</v>
      </c>
      <c r="D243" s="346" t="s">
        <v>801</v>
      </c>
      <c r="E243" s="364">
        <v>1</v>
      </c>
      <c r="F243" s="814">
        <v>288</v>
      </c>
      <c r="G243" s="656">
        <f t="shared" si="46"/>
        <v>221.76</v>
      </c>
      <c r="H243" s="365">
        <f t="shared" si="47"/>
        <v>221.76</v>
      </c>
    </row>
    <row r="244" spans="1:8" s="658" customFormat="1" ht="15" x14ac:dyDescent="0.2">
      <c r="A244" s="653" t="s">
        <v>772</v>
      </c>
      <c r="B244" s="666" t="s">
        <v>814</v>
      </c>
      <c r="C244" s="362" t="s">
        <v>813</v>
      </c>
      <c r="D244" s="346" t="s">
        <v>801</v>
      </c>
      <c r="E244" s="364">
        <v>1</v>
      </c>
      <c r="F244" s="814">
        <v>1685</v>
      </c>
      <c r="G244" s="656">
        <f t="shared" si="46"/>
        <v>1297.45</v>
      </c>
      <c r="H244" s="365">
        <f t="shared" si="47"/>
        <v>1297.45</v>
      </c>
    </row>
    <row r="245" spans="1:8" s="658" customFormat="1" ht="16.5" thickBot="1" x14ac:dyDescent="0.3">
      <c r="A245" s="1093" t="s">
        <v>17</v>
      </c>
      <c r="B245" s="1094"/>
      <c r="C245" s="1094"/>
      <c r="D245" s="1094"/>
      <c r="E245" s="1094"/>
      <c r="F245" s="1094"/>
      <c r="G245" s="1095"/>
      <c r="H245" s="667">
        <f>ROUND(SUM(H241:H244),2)</f>
        <v>1548.31</v>
      </c>
    </row>
    <row r="246" spans="1:8" s="658" customFormat="1" ht="15.75" thickBot="1" x14ac:dyDescent="0.25">
      <c r="A246" s="669"/>
      <c r="B246" s="669"/>
      <c r="C246" s="670"/>
      <c r="D246" s="669"/>
      <c r="E246" s="672"/>
      <c r="F246" s="815"/>
      <c r="G246" s="673"/>
      <c r="H246" s="674"/>
    </row>
    <row r="247" spans="1:8" s="658" customFormat="1" ht="26.25" customHeight="1" x14ac:dyDescent="0.2">
      <c r="A247" s="1087" t="s">
        <v>706</v>
      </c>
      <c r="B247" s="1088"/>
      <c r="C247" s="1088"/>
      <c r="D247" s="1088"/>
      <c r="E247" s="1088"/>
      <c r="F247" s="1088"/>
      <c r="G247" s="1088"/>
      <c r="H247" s="1089"/>
    </row>
    <row r="248" spans="1:8" s="658" customFormat="1" ht="42.75" customHeight="1" x14ac:dyDescent="0.2">
      <c r="A248" s="1090" t="s">
        <v>740</v>
      </c>
      <c r="B248" s="1091"/>
      <c r="C248" s="1091"/>
      <c r="D248" s="1091"/>
      <c r="E248" s="1091"/>
      <c r="F248" s="1091"/>
      <c r="G248" s="1092"/>
      <c r="H248" s="645" t="s">
        <v>254</v>
      </c>
    </row>
    <row r="249" spans="1:8" s="658" customFormat="1" ht="32.25" thickBot="1" x14ac:dyDescent="0.25">
      <c r="A249" s="646" t="s">
        <v>800</v>
      </c>
      <c r="B249" s="647" t="s">
        <v>7</v>
      </c>
      <c r="C249" s="648" t="s">
        <v>16</v>
      </c>
      <c r="D249" s="649" t="s">
        <v>801</v>
      </c>
      <c r="E249" s="650" t="s">
        <v>2</v>
      </c>
      <c r="F249" s="811" t="s">
        <v>802</v>
      </c>
      <c r="G249" s="651" t="s">
        <v>802</v>
      </c>
      <c r="H249" s="652" t="s">
        <v>58</v>
      </c>
    </row>
    <row r="250" spans="1:8" s="658" customFormat="1" ht="56.25" customHeight="1" x14ac:dyDescent="0.2">
      <c r="A250" s="653" t="s">
        <v>282</v>
      </c>
      <c r="B250" s="666" t="s">
        <v>738</v>
      </c>
      <c r="C250" s="362" t="s">
        <v>739</v>
      </c>
      <c r="D250" s="363" t="s">
        <v>285</v>
      </c>
      <c r="E250" s="364">
        <v>1</v>
      </c>
      <c r="F250" s="814">
        <v>102.4</v>
      </c>
      <c r="G250" s="656">
        <f t="shared" ref="G250:G254" si="48">F250*$L$8+F250</f>
        <v>78.847999999999999</v>
      </c>
      <c r="H250" s="365">
        <f t="shared" ref="H250:H254" si="49">ROUND(E250*G250,2)</f>
        <v>78.849999999999994</v>
      </c>
    </row>
    <row r="251" spans="1:8" s="658" customFormat="1" ht="21.75" customHeight="1" x14ac:dyDescent="0.2">
      <c r="A251" s="653" t="s">
        <v>12</v>
      </c>
      <c r="B251" s="666" t="s">
        <v>169</v>
      </c>
      <c r="C251" s="362" t="s">
        <v>129</v>
      </c>
      <c r="D251" s="363" t="s">
        <v>123</v>
      </c>
      <c r="E251" s="364">
        <v>6.3399999999999998E-2</v>
      </c>
      <c r="F251" s="814">
        <v>21.31</v>
      </c>
      <c r="G251" s="656">
        <f t="shared" si="48"/>
        <v>16.4087</v>
      </c>
      <c r="H251" s="365">
        <f t="shared" si="49"/>
        <v>1.04</v>
      </c>
    </row>
    <row r="252" spans="1:8" s="658" customFormat="1" ht="23.25" customHeight="1" x14ac:dyDescent="0.2">
      <c r="A252" s="653" t="s">
        <v>12</v>
      </c>
      <c r="B252" s="666" t="s">
        <v>171</v>
      </c>
      <c r="C252" s="362" t="s">
        <v>93</v>
      </c>
      <c r="D252" s="363" t="s">
        <v>123</v>
      </c>
      <c r="E252" s="364">
        <v>6.3399999999999998E-2</v>
      </c>
      <c r="F252" s="814">
        <v>17.09</v>
      </c>
      <c r="G252" s="656">
        <f t="shared" si="48"/>
        <v>13.1593</v>
      </c>
      <c r="H252" s="365">
        <f t="shared" si="49"/>
        <v>0.83</v>
      </c>
    </row>
    <row r="253" spans="1:8" s="658" customFormat="1" ht="56.25" customHeight="1" x14ac:dyDescent="0.2">
      <c r="A253" s="653" t="s">
        <v>12</v>
      </c>
      <c r="B253" s="666" t="s">
        <v>684</v>
      </c>
      <c r="C253" s="362" t="s">
        <v>685</v>
      </c>
      <c r="D253" s="363" t="s">
        <v>141</v>
      </c>
      <c r="E253" s="364">
        <v>1.7999999999999999E-2</v>
      </c>
      <c r="F253" s="814">
        <v>189.22</v>
      </c>
      <c r="G253" s="656">
        <f t="shared" si="48"/>
        <v>145.6994</v>
      </c>
      <c r="H253" s="365">
        <f t="shared" si="49"/>
        <v>2.62</v>
      </c>
    </row>
    <row r="254" spans="1:8" s="658" customFormat="1" ht="53.25" customHeight="1" x14ac:dyDescent="0.2">
      <c r="A254" s="653" t="s">
        <v>282</v>
      </c>
      <c r="B254" s="666" t="s">
        <v>296</v>
      </c>
      <c r="C254" s="519" t="s">
        <v>297</v>
      </c>
      <c r="D254" s="363" t="s">
        <v>285</v>
      </c>
      <c r="E254" s="364">
        <f>0.3*0.3</f>
        <v>0.09</v>
      </c>
      <c r="F254" s="814">
        <v>404.65</v>
      </c>
      <c r="G254" s="656">
        <f t="shared" si="48"/>
        <v>311.58049999999997</v>
      </c>
      <c r="H254" s="365">
        <f t="shared" si="49"/>
        <v>28.04</v>
      </c>
    </row>
    <row r="255" spans="1:8" s="658" customFormat="1" ht="16.5" thickBot="1" x14ac:dyDescent="0.3">
      <c r="A255" s="1093" t="s">
        <v>17</v>
      </c>
      <c r="B255" s="1094"/>
      <c r="C255" s="1094"/>
      <c r="D255" s="1094"/>
      <c r="E255" s="1094"/>
      <c r="F255" s="1094"/>
      <c r="G255" s="1095"/>
      <c r="H255" s="667">
        <f>ROUND(SUM(H250:H254),2)</f>
        <v>111.38</v>
      </c>
    </row>
    <row r="256" spans="1:8" s="658" customFormat="1" ht="15.75" thickBot="1" x14ac:dyDescent="0.25">
      <c r="A256" s="669"/>
      <c r="B256" s="669"/>
      <c r="C256" s="670"/>
      <c r="D256" s="669"/>
      <c r="E256" s="672"/>
      <c r="F256" s="815"/>
      <c r="G256" s="673"/>
      <c r="H256" s="674"/>
    </row>
    <row r="257" spans="1:8" s="658" customFormat="1" ht="26.25" customHeight="1" x14ac:dyDescent="0.2">
      <c r="A257" s="1087" t="s">
        <v>707</v>
      </c>
      <c r="B257" s="1088"/>
      <c r="C257" s="1088"/>
      <c r="D257" s="1088"/>
      <c r="E257" s="1088"/>
      <c r="F257" s="1088"/>
      <c r="G257" s="1088"/>
      <c r="H257" s="1089"/>
    </row>
    <row r="258" spans="1:8" s="658" customFormat="1" ht="51" customHeight="1" x14ac:dyDescent="0.2">
      <c r="A258" s="1090" t="s">
        <v>521</v>
      </c>
      <c r="B258" s="1091"/>
      <c r="C258" s="1091"/>
      <c r="D258" s="1091"/>
      <c r="E258" s="1091"/>
      <c r="F258" s="1091"/>
      <c r="G258" s="1092"/>
      <c r="H258" s="645" t="s">
        <v>254</v>
      </c>
    </row>
    <row r="259" spans="1:8" s="658" customFormat="1" ht="32.25" thickBot="1" x14ac:dyDescent="0.25">
      <c r="A259" s="646" t="s">
        <v>800</v>
      </c>
      <c r="B259" s="647" t="s">
        <v>7</v>
      </c>
      <c r="C259" s="648" t="s">
        <v>16</v>
      </c>
      <c r="D259" s="649" t="s">
        <v>801</v>
      </c>
      <c r="E259" s="650" t="s">
        <v>2</v>
      </c>
      <c r="F259" s="811" t="s">
        <v>802</v>
      </c>
      <c r="G259" s="651" t="s">
        <v>802</v>
      </c>
      <c r="H259" s="652" t="s">
        <v>58</v>
      </c>
    </row>
    <row r="260" spans="1:8" s="658" customFormat="1" ht="36.75" customHeight="1" x14ac:dyDescent="0.2">
      <c r="A260" s="653" t="s">
        <v>282</v>
      </c>
      <c r="B260" s="666">
        <v>9841</v>
      </c>
      <c r="C260" s="362" t="s">
        <v>625</v>
      </c>
      <c r="D260" s="363" t="s">
        <v>292</v>
      </c>
      <c r="E260" s="364">
        <v>0.8</v>
      </c>
      <c r="F260" s="814">
        <v>38.99</v>
      </c>
      <c r="G260" s="656">
        <f t="shared" ref="G260:G268" si="50">F260*$L$8+F260</f>
        <v>30.022300000000001</v>
      </c>
      <c r="H260" s="365">
        <f t="shared" ref="H260:H268" si="51">ROUND(E260*G260,2)</f>
        <v>24.02</v>
      </c>
    </row>
    <row r="261" spans="1:8" s="658" customFormat="1" ht="38.25" customHeight="1" x14ac:dyDescent="0.2">
      <c r="A261" s="653" t="s">
        <v>282</v>
      </c>
      <c r="B261" s="666" t="s">
        <v>626</v>
      </c>
      <c r="C261" s="362" t="s">
        <v>627</v>
      </c>
      <c r="D261" s="363" t="s">
        <v>285</v>
      </c>
      <c r="E261" s="364">
        <v>1</v>
      </c>
      <c r="F261" s="814">
        <v>113.95</v>
      </c>
      <c r="G261" s="656">
        <f t="shared" si="50"/>
        <v>87.741500000000002</v>
      </c>
      <c r="H261" s="365">
        <f t="shared" si="51"/>
        <v>87.74</v>
      </c>
    </row>
    <row r="262" spans="1:8" s="658" customFormat="1" ht="53.25" customHeight="1" x14ac:dyDescent="0.2">
      <c r="A262" s="653" t="s">
        <v>282</v>
      </c>
      <c r="B262" s="666">
        <v>1598</v>
      </c>
      <c r="C262" s="362" t="s">
        <v>628</v>
      </c>
      <c r="D262" s="363" t="s">
        <v>285</v>
      </c>
      <c r="E262" s="364">
        <v>1</v>
      </c>
      <c r="F262" s="814">
        <v>10.91</v>
      </c>
      <c r="G262" s="656">
        <f t="shared" si="50"/>
        <v>8.4007000000000005</v>
      </c>
      <c r="H262" s="365">
        <f t="shared" si="51"/>
        <v>8.4</v>
      </c>
    </row>
    <row r="263" spans="1:8" s="658" customFormat="1" ht="56.25" customHeight="1" x14ac:dyDescent="0.2">
      <c r="A263" s="653" t="s">
        <v>12</v>
      </c>
      <c r="B263" s="666" t="s">
        <v>629</v>
      </c>
      <c r="C263" s="362" t="s">
        <v>630</v>
      </c>
      <c r="D263" s="363" t="s">
        <v>141</v>
      </c>
      <c r="E263" s="364">
        <v>0.04</v>
      </c>
      <c r="F263" s="814">
        <v>248.38</v>
      </c>
      <c r="G263" s="656">
        <f t="shared" si="50"/>
        <v>191.2526</v>
      </c>
      <c r="H263" s="365">
        <f t="shared" si="51"/>
        <v>7.65</v>
      </c>
    </row>
    <row r="264" spans="1:8" s="658" customFormat="1" ht="56.25" customHeight="1" x14ac:dyDescent="0.2">
      <c r="A264" s="653" t="s">
        <v>12</v>
      </c>
      <c r="B264" s="360" t="s">
        <v>631</v>
      </c>
      <c r="C264" s="361" t="s">
        <v>632</v>
      </c>
      <c r="D264" s="654" t="s">
        <v>124</v>
      </c>
      <c r="E264" s="359">
        <v>1</v>
      </c>
      <c r="F264" s="812">
        <v>264.89999999999998</v>
      </c>
      <c r="G264" s="656">
        <f t="shared" si="50"/>
        <v>203.97299999999998</v>
      </c>
      <c r="H264" s="365">
        <f t="shared" si="51"/>
        <v>203.97</v>
      </c>
    </row>
    <row r="265" spans="1:8" s="658" customFormat="1" ht="38.25" customHeight="1" x14ac:dyDescent="0.2">
      <c r="A265" s="653" t="s">
        <v>12</v>
      </c>
      <c r="B265" s="666">
        <v>97610</v>
      </c>
      <c r="C265" s="362" t="s">
        <v>633</v>
      </c>
      <c r="D265" s="363" t="s">
        <v>124</v>
      </c>
      <c r="E265" s="364">
        <v>1</v>
      </c>
      <c r="F265" s="814">
        <v>17.8</v>
      </c>
      <c r="G265" s="656">
        <f t="shared" si="50"/>
        <v>13.706</v>
      </c>
      <c r="H265" s="365">
        <f t="shared" si="51"/>
        <v>13.71</v>
      </c>
    </row>
    <row r="266" spans="1:8" s="658" customFormat="1" ht="50.25" customHeight="1" x14ac:dyDescent="0.2">
      <c r="A266" s="653" t="s">
        <v>12</v>
      </c>
      <c r="B266" s="666">
        <v>91926</v>
      </c>
      <c r="C266" s="362" t="s">
        <v>100</v>
      </c>
      <c r="D266" s="363" t="s">
        <v>52</v>
      </c>
      <c r="E266" s="364">
        <v>0.3</v>
      </c>
      <c r="F266" s="814">
        <v>4.17</v>
      </c>
      <c r="G266" s="656">
        <f t="shared" si="50"/>
        <v>3.2108999999999996</v>
      </c>
      <c r="H266" s="365">
        <f t="shared" si="51"/>
        <v>0.96</v>
      </c>
    </row>
    <row r="267" spans="1:8" s="658" customFormat="1" ht="36.75" customHeight="1" x14ac:dyDescent="0.2">
      <c r="A267" s="653" t="s">
        <v>12</v>
      </c>
      <c r="B267" s="666">
        <v>88247</v>
      </c>
      <c r="C267" s="362" t="s">
        <v>346</v>
      </c>
      <c r="D267" s="363" t="s">
        <v>123</v>
      </c>
      <c r="E267" s="364">
        <v>0.5</v>
      </c>
      <c r="F267" s="814">
        <v>17.04</v>
      </c>
      <c r="G267" s="656">
        <f t="shared" si="50"/>
        <v>13.120799999999999</v>
      </c>
      <c r="H267" s="365">
        <f t="shared" si="51"/>
        <v>6.56</v>
      </c>
    </row>
    <row r="268" spans="1:8" s="658" customFormat="1" ht="21.75" customHeight="1" x14ac:dyDescent="0.2">
      <c r="A268" s="653" t="s">
        <v>12</v>
      </c>
      <c r="B268" s="360">
        <v>88264</v>
      </c>
      <c r="C268" s="361" t="s">
        <v>348</v>
      </c>
      <c r="D268" s="654" t="s">
        <v>123</v>
      </c>
      <c r="E268" s="359">
        <v>0.5</v>
      </c>
      <c r="F268" s="812">
        <v>21.52</v>
      </c>
      <c r="G268" s="656">
        <f t="shared" si="50"/>
        <v>16.570399999999999</v>
      </c>
      <c r="H268" s="365">
        <f t="shared" si="51"/>
        <v>8.2899999999999991</v>
      </c>
    </row>
    <row r="269" spans="1:8" s="658" customFormat="1" ht="16.5" thickBot="1" x14ac:dyDescent="0.3">
      <c r="A269" s="1093" t="s">
        <v>17</v>
      </c>
      <c r="B269" s="1094"/>
      <c r="C269" s="1094"/>
      <c r="D269" s="1094"/>
      <c r="E269" s="1094"/>
      <c r="F269" s="1094"/>
      <c r="G269" s="1095"/>
      <c r="H269" s="667">
        <f>ROUND(SUM(H260:H268),2)</f>
        <v>361.3</v>
      </c>
    </row>
    <row r="270" spans="1:8" s="658" customFormat="1" ht="15.75" thickBot="1" x14ac:dyDescent="0.25">
      <c r="A270" s="669"/>
      <c r="B270" s="669"/>
      <c r="C270" s="670"/>
      <c r="D270" s="669"/>
      <c r="E270" s="672"/>
      <c r="F270" s="815"/>
      <c r="G270" s="673"/>
      <c r="H270" s="674"/>
    </row>
    <row r="271" spans="1:8" s="658" customFormat="1" ht="26.25" customHeight="1" x14ac:dyDescent="0.2">
      <c r="A271" s="1087" t="s">
        <v>708</v>
      </c>
      <c r="B271" s="1088"/>
      <c r="C271" s="1088"/>
      <c r="D271" s="1088"/>
      <c r="E271" s="1088"/>
      <c r="F271" s="1088"/>
      <c r="G271" s="1088"/>
      <c r="H271" s="1089"/>
    </row>
    <row r="272" spans="1:8" s="658" customFormat="1" ht="48" customHeight="1" x14ac:dyDescent="0.2">
      <c r="A272" s="1090" t="s">
        <v>771</v>
      </c>
      <c r="B272" s="1091"/>
      <c r="C272" s="1091"/>
      <c r="D272" s="1091"/>
      <c r="E272" s="1091"/>
      <c r="F272" s="1091"/>
      <c r="G272" s="1092"/>
      <c r="H272" s="645" t="s">
        <v>68</v>
      </c>
    </row>
    <row r="273" spans="1:8" s="658" customFormat="1" ht="32.25" thickBot="1" x14ac:dyDescent="0.25">
      <c r="A273" s="646" t="s">
        <v>800</v>
      </c>
      <c r="B273" s="647" t="s">
        <v>7</v>
      </c>
      <c r="C273" s="648" t="s">
        <v>16</v>
      </c>
      <c r="D273" s="649" t="s">
        <v>801</v>
      </c>
      <c r="E273" s="650" t="s">
        <v>2</v>
      </c>
      <c r="F273" s="811" t="s">
        <v>802</v>
      </c>
      <c r="G273" s="651" t="s">
        <v>802</v>
      </c>
      <c r="H273" s="652" t="s">
        <v>58</v>
      </c>
    </row>
    <row r="274" spans="1:8" s="658" customFormat="1" ht="21.75" customHeight="1" x14ac:dyDescent="0.2">
      <c r="A274" s="678" t="s">
        <v>267</v>
      </c>
      <c r="B274" s="360" t="s">
        <v>765</v>
      </c>
      <c r="C274" s="361" t="s">
        <v>766</v>
      </c>
      <c r="D274" s="679" t="s">
        <v>141</v>
      </c>
      <c r="E274" s="680">
        <f>0.15*(9.85*2+3*2)</f>
        <v>3.8549999999999995</v>
      </c>
      <c r="F274" s="812">
        <v>51.21</v>
      </c>
      <c r="G274" s="656">
        <f t="shared" ref="G274:G280" si="52">F274*$L$8+F274</f>
        <v>39.431699999999999</v>
      </c>
      <c r="H274" s="365">
        <f t="shared" ref="H274:H280" si="53">ROUND(E274*G274,2)</f>
        <v>152.01</v>
      </c>
    </row>
    <row r="275" spans="1:8" s="658" customFormat="1" ht="56.25" customHeight="1" x14ac:dyDescent="0.2">
      <c r="A275" s="678" t="s">
        <v>12</v>
      </c>
      <c r="B275" s="360" t="s">
        <v>277</v>
      </c>
      <c r="C275" s="361" t="s">
        <v>278</v>
      </c>
      <c r="D275" s="363" t="s">
        <v>69</v>
      </c>
      <c r="E275" s="680">
        <f>0.15*(9.85*2+3*2)</f>
        <v>3.8549999999999995</v>
      </c>
      <c r="F275" s="812">
        <v>64.37</v>
      </c>
      <c r="G275" s="656">
        <f t="shared" si="52"/>
        <v>49.564900000000002</v>
      </c>
      <c r="H275" s="365">
        <f t="shared" si="53"/>
        <v>191.07</v>
      </c>
    </row>
    <row r="276" spans="1:8" s="658" customFormat="1" ht="51.75" customHeight="1" x14ac:dyDescent="0.2">
      <c r="A276" s="363" t="s">
        <v>12</v>
      </c>
      <c r="B276" s="360" t="s">
        <v>275</v>
      </c>
      <c r="C276" s="361" t="s">
        <v>276</v>
      </c>
      <c r="D276" s="363" t="s">
        <v>141</v>
      </c>
      <c r="E276" s="517">
        <f>0.3*(9.85*2+3*2)</f>
        <v>7.7099999999999991</v>
      </c>
      <c r="F276" s="814">
        <v>545.9</v>
      </c>
      <c r="G276" s="656">
        <f t="shared" si="52"/>
        <v>420.34299999999996</v>
      </c>
      <c r="H276" s="365">
        <f t="shared" si="53"/>
        <v>3240.84</v>
      </c>
    </row>
    <row r="277" spans="1:8" s="658" customFormat="1" ht="15" x14ac:dyDescent="0.2">
      <c r="A277" s="363" t="s">
        <v>267</v>
      </c>
      <c r="B277" s="360" t="s">
        <v>767</v>
      </c>
      <c r="C277" s="518" t="s">
        <v>768</v>
      </c>
      <c r="D277" s="363" t="s">
        <v>141</v>
      </c>
      <c r="E277" s="517">
        <f>(9.85-0.3)*(3-0.3)*0.1</f>
        <v>2.5785</v>
      </c>
      <c r="F277" s="814">
        <v>105.78</v>
      </c>
      <c r="G277" s="656">
        <f t="shared" si="52"/>
        <v>81.450600000000009</v>
      </c>
      <c r="H277" s="365">
        <f t="shared" si="53"/>
        <v>210.02</v>
      </c>
    </row>
    <row r="278" spans="1:8" s="658" customFormat="1" ht="71.25" customHeight="1" x14ac:dyDescent="0.2">
      <c r="A278" s="678" t="s">
        <v>12</v>
      </c>
      <c r="B278" s="360" t="s">
        <v>271</v>
      </c>
      <c r="C278" s="361" t="s">
        <v>272</v>
      </c>
      <c r="D278" s="679" t="s">
        <v>141</v>
      </c>
      <c r="E278" s="517">
        <f>(9.85-0.3)*(3-0.3)*0.05</f>
        <v>1.28925</v>
      </c>
      <c r="F278" s="812">
        <v>534.03</v>
      </c>
      <c r="G278" s="656">
        <f t="shared" si="52"/>
        <v>411.20309999999995</v>
      </c>
      <c r="H278" s="365">
        <f t="shared" si="53"/>
        <v>530.14</v>
      </c>
    </row>
    <row r="279" spans="1:8" s="658" customFormat="1" ht="66.75" customHeight="1" x14ac:dyDescent="0.2">
      <c r="A279" s="363" t="s">
        <v>12</v>
      </c>
      <c r="B279" s="360" t="s">
        <v>477</v>
      </c>
      <c r="C279" s="361" t="s">
        <v>478</v>
      </c>
      <c r="D279" s="363" t="s">
        <v>141</v>
      </c>
      <c r="E279" s="517">
        <f>9.85*3*0.04</f>
        <v>1.1819999999999999</v>
      </c>
      <c r="F279" s="814">
        <v>482.75</v>
      </c>
      <c r="G279" s="656">
        <f t="shared" si="52"/>
        <v>371.71749999999997</v>
      </c>
      <c r="H279" s="365">
        <f t="shared" si="53"/>
        <v>439.37</v>
      </c>
    </row>
    <row r="280" spans="1:8" s="658" customFormat="1" ht="39.75" customHeight="1" x14ac:dyDescent="0.2">
      <c r="A280" s="363" t="s">
        <v>12</v>
      </c>
      <c r="B280" s="360" t="s">
        <v>769</v>
      </c>
      <c r="C280" s="518" t="s">
        <v>770</v>
      </c>
      <c r="D280" s="363" t="s">
        <v>69</v>
      </c>
      <c r="E280" s="517">
        <f>9.85*3+((9.85*2+3*2)*0.2)</f>
        <v>34.69</v>
      </c>
      <c r="F280" s="814">
        <v>85.78</v>
      </c>
      <c r="G280" s="656">
        <f t="shared" si="52"/>
        <v>66.050600000000003</v>
      </c>
      <c r="H280" s="365">
        <f t="shared" si="53"/>
        <v>2291.3000000000002</v>
      </c>
    </row>
    <row r="281" spans="1:8" s="658" customFormat="1" ht="16.5" thickBot="1" x14ac:dyDescent="0.3">
      <c r="A281" s="1093" t="s">
        <v>17</v>
      </c>
      <c r="B281" s="1094"/>
      <c r="C281" s="1094"/>
      <c r="D281" s="1094"/>
      <c r="E281" s="1094"/>
      <c r="F281" s="1094"/>
      <c r="G281" s="1095"/>
      <c r="H281" s="667">
        <f>ROUND(SUM(H274:H280),2)</f>
        <v>7054.75</v>
      </c>
    </row>
    <row r="282" spans="1:8" s="658" customFormat="1" ht="15.75" thickBot="1" x14ac:dyDescent="0.25">
      <c r="A282" s="669"/>
      <c r="B282" s="669"/>
      <c r="C282" s="670"/>
      <c r="D282" s="669"/>
      <c r="E282" s="672"/>
      <c r="F282" s="815"/>
      <c r="G282" s="673"/>
      <c r="H282" s="674"/>
    </row>
    <row r="283" spans="1:8" s="658" customFormat="1" ht="25.5" customHeight="1" x14ac:dyDescent="0.2">
      <c r="A283" s="1087" t="s">
        <v>709</v>
      </c>
      <c r="B283" s="1088"/>
      <c r="C283" s="1088"/>
      <c r="D283" s="1088"/>
      <c r="E283" s="1088"/>
      <c r="F283" s="1088"/>
      <c r="G283" s="1088"/>
      <c r="H283" s="1089"/>
    </row>
    <row r="284" spans="1:8" s="658" customFormat="1" ht="33.75" customHeight="1" x14ac:dyDescent="0.2">
      <c r="A284" s="1090" t="s">
        <v>954</v>
      </c>
      <c r="B284" s="1091"/>
      <c r="C284" s="1091"/>
      <c r="D284" s="1091"/>
      <c r="E284" s="1091"/>
      <c r="F284" s="1091"/>
      <c r="G284" s="1092"/>
      <c r="H284" s="645" t="s">
        <v>68</v>
      </c>
    </row>
    <row r="285" spans="1:8" s="658" customFormat="1" ht="32.25" thickBot="1" x14ac:dyDescent="0.25">
      <c r="A285" s="646" t="s">
        <v>800</v>
      </c>
      <c r="B285" s="647" t="s">
        <v>7</v>
      </c>
      <c r="C285" s="648" t="s">
        <v>16</v>
      </c>
      <c r="D285" s="649" t="s">
        <v>801</v>
      </c>
      <c r="E285" s="650" t="s">
        <v>2</v>
      </c>
      <c r="F285" s="811" t="s">
        <v>802</v>
      </c>
      <c r="G285" s="651" t="s">
        <v>802</v>
      </c>
      <c r="H285" s="652" t="s">
        <v>58</v>
      </c>
    </row>
    <row r="286" spans="1:8" s="658" customFormat="1" ht="15" x14ac:dyDescent="0.2">
      <c r="A286" s="653" t="s">
        <v>772</v>
      </c>
      <c r="B286" s="666" t="s">
        <v>818</v>
      </c>
      <c r="C286" s="361" t="s">
        <v>773</v>
      </c>
      <c r="D286" s="363" t="s">
        <v>124</v>
      </c>
      <c r="E286" s="359">
        <v>1</v>
      </c>
      <c r="F286" s="812">
        <v>66500</v>
      </c>
      <c r="G286" s="656">
        <f t="shared" ref="G286" si="54">F286*$L$8+F286</f>
        <v>51205</v>
      </c>
      <c r="H286" s="365">
        <f t="shared" ref="H286" si="55">ROUND(E286*G286,2)</f>
        <v>51205</v>
      </c>
    </row>
    <row r="287" spans="1:8" s="658" customFormat="1" ht="16.5" thickBot="1" x14ac:dyDescent="0.3">
      <c r="A287" s="1093" t="s">
        <v>17</v>
      </c>
      <c r="B287" s="1094"/>
      <c r="C287" s="1094"/>
      <c r="D287" s="1094"/>
      <c r="E287" s="1094"/>
      <c r="F287" s="1094"/>
      <c r="G287" s="1095"/>
      <c r="H287" s="667">
        <f>SUM(H286:H286)</f>
        <v>51205</v>
      </c>
    </row>
    <row r="288" spans="1:8" s="658" customFormat="1" ht="15.75" thickBot="1" x14ac:dyDescent="0.25">
      <c r="A288" s="669"/>
      <c r="B288" s="669"/>
      <c r="C288" s="670"/>
      <c r="D288" s="669"/>
      <c r="E288" s="672"/>
      <c r="F288" s="815"/>
      <c r="G288" s="673"/>
      <c r="H288" s="674"/>
    </row>
    <row r="289" spans="1:8" s="658" customFormat="1" ht="26.25" customHeight="1" x14ac:dyDescent="0.2">
      <c r="A289" s="1087" t="s">
        <v>710</v>
      </c>
      <c r="B289" s="1088"/>
      <c r="C289" s="1088"/>
      <c r="D289" s="1088"/>
      <c r="E289" s="1088"/>
      <c r="F289" s="1088"/>
      <c r="G289" s="1088"/>
      <c r="H289" s="1089"/>
    </row>
    <row r="290" spans="1:8" s="658" customFormat="1" ht="66.75" customHeight="1" x14ac:dyDescent="0.2">
      <c r="A290" s="1098" t="s">
        <v>799</v>
      </c>
      <c r="B290" s="1099"/>
      <c r="C290" s="1099"/>
      <c r="D290" s="1099"/>
      <c r="E290" s="1099"/>
      <c r="F290" s="1099"/>
      <c r="G290" s="1100"/>
      <c r="H290" s="645" t="s">
        <v>254</v>
      </c>
    </row>
    <row r="291" spans="1:8" s="658" customFormat="1" ht="32.25" thickBot="1" x14ac:dyDescent="0.25">
      <c r="A291" s="646" t="s">
        <v>800</v>
      </c>
      <c r="B291" s="647" t="s">
        <v>7</v>
      </c>
      <c r="C291" s="648" t="s">
        <v>16</v>
      </c>
      <c r="D291" s="649" t="s">
        <v>801</v>
      </c>
      <c r="E291" s="650" t="s">
        <v>2</v>
      </c>
      <c r="F291" s="811" t="s">
        <v>802</v>
      </c>
      <c r="G291" s="651" t="s">
        <v>802</v>
      </c>
      <c r="H291" s="652" t="s">
        <v>58</v>
      </c>
    </row>
    <row r="292" spans="1:8" s="658" customFormat="1" ht="54.75" customHeight="1" x14ac:dyDescent="0.2">
      <c r="A292" s="341" t="s">
        <v>282</v>
      </c>
      <c r="B292" s="342">
        <v>42246</v>
      </c>
      <c r="C292" s="343" t="s">
        <v>803</v>
      </c>
      <c r="D292" s="342" t="s">
        <v>801</v>
      </c>
      <c r="E292" s="344">
        <v>1</v>
      </c>
      <c r="F292" s="820">
        <v>526.38</v>
      </c>
      <c r="G292" s="656">
        <f t="shared" ref="G292:G306" si="56">F292*$L$8+F292</f>
        <v>405.31259999999997</v>
      </c>
      <c r="H292" s="365">
        <f t="shared" ref="H292:H306" si="57">ROUND(E292*G292,2)</f>
        <v>405.31</v>
      </c>
    </row>
    <row r="293" spans="1:8" s="658" customFormat="1" ht="53.25" customHeight="1" x14ac:dyDescent="0.2">
      <c r="A293" s="345" t="s">
        <v>12</v>
      </c>
      <c r="B293" s="346">
        <v>101632</v>
      </c>
      <c r="C293" s="347" t="s">
        <v>804</v>
      </c>
      <c r="D293" s="346" t="s">
        <v>801</v>
      </c>
      <c r="E293" s="348">
        <v>2</v>
      </c>
      <c r="F293" s="821">
        <v>54.13</v>
      </c>
      <c r="G293" s="656">
        <f t="shared" si="56"/>
        <v>41.680100000000003</v>
      </c>
      <c r="H293" s="365">
        <f t="shared" si="57"/>
        <v>83.36</v>
      </c>
    </row>
    <row r="294" spans="1:8" s="658" customFormat="1" ht="54.75" customHeight="1" x14ac:dyDescent="0.2">
      <c r="A294" s="345" t="s">
        <v>12</v>
      </c>
      <c r="B294" s="346">
        <v>91927</v>
      </c>
      <c r="C294" s="347" t="s">
        <v>784</v>
      </c>
      <c r="D294" s="346" t="s">
        <v>13</v>
      </c>
      <c r="E294" s="348">
        <f>SUM(3*7.5)</f>
        <v>22.5</v>
      </c>
      <c r="F294" s="821">
        <v>5.62</v>
      </c>
      <c r="G294" s="656">
        <f t="shared" si="56"/>
        <v>4.3273999999999999</v>
      </c>
      <c r="H294" s="365">
        <f t="shared" si="57"/>
        <v>97.37</v>
      </c>
    </row>
    <row r="295" spans="1:8" s="658" customFormat="1" ht="65.25" customHeight="1" x14ac:dyDescent="0.2">
      <c r="A295" s="345" t="s">
        <v>12</v>
      </c>
      <c r="B295" s="346">
        <v>91835</v>
      </c>
      <c r="C295" s="347" t="s">
        <v>805</v>
      </c>
      <c r="D295" s="346" t="s">
        <v>801</v>
      </c>
      <c r="E295" s="348">
        <v>7</v>
      </c>
      <c r="F295" s="821">
        <v>9.9700000000000006</v>
      </c>
      <c r="G295" s="656">
        <f t="shared" si="56"/>
        <v>7.6768999999999998</v>
      </c>
      <c r="H295" s="365">
        <f t="shared" si="57"/>
        <v>53.74</v>
      </c>
    </row>
    <row r="296" spans="1:8" s="658" customFormat="1" ht="51.75" customHeight="1" x14ac:dyDescent="0.2">
      <c r="A296" s="345" t="s">
        <v>282</v>
      </c>
      <c r="B296" s="346">
        <v>14166</v>
      </c>
      <c r="C296" s="347" t="s">
        <v>806</v>
      </c>
      <c r="D296" s="346" t="s">
        <v>801</v>
      </c>
      <c r="E296" s="348">
        <v>1</v>
      </c>
      <c r="F296" s="821">
        <v>1754.29</v>
      </c>
      <c r="G296" s="656">
        <f t="shared" si="56"/>
        <v>1350.8033</v>
      </c>
      <c r="H296" s="365">
        <f t="shared" si="57"/>
        <v>1350.8</v>
      </c>
    </row>
    <row r="297" spans="1:8" s="658" customFormat="1" ht="18" customHeight="1" x14ac:dyDescent="0.2">
      <c r="A297" s="345" t="s">
        <v>282</v>
      </c>
      <c r="B297" s="346">
        <v>863</v>
      </c>
      <c r="C297" s="347" t="s">
        <v>807</v>
      </c>
      <c r="D297" s="346" t="s">
        <v>52</v>
      </c>
      <c r="E297" s="348">
        <v>1</v>
      </c>
      <c r="F297" s="821">
        <v>29.72</v>
      </c>
      <c r="G297" s="656">
        <f t="shared" si="56"/>
        <v>22.884399999999999</v>
      </c>
      <c r="H297" s="365">
        <f t="shared" si="57"/>
        <v>22.88</v>
      </c>
    </row>
    <row r="298" spans="1:8" s="658" customFormat="1" ht="36.75" customHeight="1" x14ac:dyDescent="0.2">
      <c r="A298" s="345" t="s">
        <v>282</v>
      </c>
      <c r="B298" s="346">
        <v>39746</v>
      </c>
      <c r="C298" s="347" t="s">
        <v>294</v>
      </c>
      <c r="D298" s="346" t="s">
        <v>801</v>
      </c>
      <c r="E298" s="348">
        <v>4</v>
      </c>
      <c r="F298" s="821">
        <v>298.49</v>
      </c>
      <c r="G298" s="656">
        <f t="shared" si="56"/>
        <v>229.8373</v>
      </c>
      <c r="H298" s="365">
        <f t="shared" si="57"/>
        <v>919.35</v>
      </c>
    </row>
    <row r="299" spans="1:8" s="658" customFormat="1" ht="35.25" customHeight="1" x14ac:dyDescent="0.2">
      <c r="A299" s="345" t="s">
        <v>12</v>
      </c>
      <c r="B299" s="346">
        <v>88247</v>
      </c>
      <c r="C299" s="347" t="s">
        <v>808</v>
      </c>
      <c r="D299" s="346" t="s">
        <v>123</v>
      </c>
      <c r="E299" s="348">
        <v>0.64100000000000001</v>
      </c>
      <c r="F299" s="821">
        <v>17.04</v>
      </c>
      <c r="G299" s="656">
        <f t="shared" si="56"/>
        <v>13.120799999999999</v>
      </c>
      <c r="H299" s="365">
        <f t="shared" si="57"/>
        <v>8.41</v>
      </c>
    </row>
    <row r="300" spans="1:8" s="658" customFormat="1" ht="24.75" customHeight="1" x14ac:dyDescent="0.2">
      <c r="A300" s="345" t="s">
        <v>12</v>
      </c>
      <c r="B300" s="346">
        <v>88264</v>
      </c>
      <c r="C300" s="347" t="s">
        <v>809</v>
      </c>
      <c r="D300" s="346" t="s">
        <v>123</v>
      </c>
      <c r="E300" s="348">
        <v>2.0840000000000001</v>
      </c>
      <c r="F300" s="821">
        <v>21.52</v>
      </c>
      <c r="G300" s="656">
        <f t="shared" si="56"/>
        <v>16.570399999999999</v>
      </c>
      <c r="H300" s="365">
        <f t="shared" si="57"/>
        <v>34.53</v>
      </c>
    </row>
    <row r="301" spans="1:8" s="658" customFormat="1" ht="60" x14ac:dyDescent="0.2">
      <c r="A301" s="345" t="s">
        <v>12</v>
      </c>
      <c r="B301" s="346">
        <v>97886</v>
      </c>
      <c r="C301" s="349" t="s">
        <v>622</v>
      </c>
      <c r="D301" s="346" t="s">
        <v>801</v>
      </c>
      <c r="E301" s="348">
        <v>1</v>
      </c>
      <c r="F301" s="822">
        <v>163.72999999999999</v>
      </c>
      <c r="G301" s="656">
        <f t="shared" si="56"/>
        <v>126.07209999999999</v>
      </c>
      <c r="H301" s="365">
        <f t="shared" si="57"/>
        <v>126.07</v>
      </c>
    </row>
    <row r="302" spans="1:8" s="658" customFormat="1" ht="30" x14ac:dyDescent="0.2">
      <c r="A302" s="345" t="s">
        <v>12</v>
      </c>
      <c r="B302" s="346">
        <v>96985</v>
      </c>
      <c r="C302" s="349" t="s">
        <v>810</v>
      </c>
      <c r="D302" s="346" t="s">
        <v>801</v>
      </c>
      <c r="E302" s="348">
        <v>1</v>
      </c>
      <c r="F302" s="822">
        <v>98.31</v>
      </c>
      <c r="G302" s="656">
        <f t="shared" si="56"/>
        <v>75.698700000000002</v>
      </c>
      <c r="H302" s="365">
        <f t="shared" si="57"/>
        <v>75.7</v>
      </c>
    </row>
    <row r="303" spans="1:8" s="658" customFormat="1" ht="45" x14ac:dyDescent="0.2">
      <c r="A303" s="345" t="s">
        <v>12</v>
      </c>
      <c r="B303" s="346">
        <v>98111</v>
      </c>
      <c r="C303" s="349" t="s">
        <v>811</v>
      </c>
      <c r="D303" s="346" t="s">
        <v>801</v>
      </c>
      <c r="E303" s="348">
        <v>1</v>
      </c>
      <c r="F303" s="822">
        <v>51.54</v>
      </c>
      <c r="G303" s="656">
        <f t="shared" si="56"/>
        <v>39.6858</v>
      </c>
      <c r="H303" s="365">
        <f t="shared" si="57"/>
        <v>39.69</v>
      </c>
    </row>
    <row r="304" spans="1:8" s="658" customFormat="1" ht="20.25" customHeight="1" x14ac:dyDescent="0.2">
      <c r="A304" s="363" t="s">
        <v>12</v>
      </c>
      <c r="B304" s="358">
        <v>93358</v>
      </c>
      <c r="C304" s="520" t="s">
        <v>118</v>
      </c>
      <c r="D304" s="363" t="s">
        <v>141</v>
      </c>
      <c r="E304" s="521">
        <v>0.27</v>
      </c>
      <c r="F304" s="823">
        <v>67.599999999999994</v>
      </c>
      <c r="G304" s="656">
        <f t="shared" si="56"/>
        <v>52.051999999999992</v>
      </c>
      <c r="H304" s="365">
        <f t="shared" si="57"/>
        <v>14.05</v>
      </c>
    </row>
    <row r="305" spans="1:8" s="658" customFormat="1" ht="66.75" customHeight="1" x14ac:dyDescent="0.2">
      <c r="A305" s="363" t="s">
        <v>12</v>
      </c>
      <c r="B305" s="358">
        <v>96541</v>
      </c>
      <c r="C305" s="522" t="s">
        <v>812</v>
      </c>
      <c r="D305" s="363" t="s">
        <v>69</v>
      </c>
      <c r="E305" s="521">
        <v>2.72</v>
      </c>
      <c r="F305" s="823">
        <v>170.68</v>
      </c>
      <c r="G305" s="656">
        <f t="shared" si="56"/>
        <v>131.42359999999999</v>
      </c>
      <c r="H305" s="365">
        <f t="shared" si="57"/>
        <v>357.47</v>
      </c>
    </row>
    <row r="306" spans="1:8" s="658" customFormat="1" ht="50.25" customHeight="1" x14ac:dyDescent="0.2">
      <c r="A306" s="363" t="s">
        <v>12</v>
      </c>
      <c r="B306" s="523">
        <v>102487</v>
      </c>
      <c r="C306" s="522" t="s">
        <v>276</v>
      </c>
      <c r="D306" s="363" t="s">
        <v>141</v>
      </c>
      <c r="E306" s="521">
        <v>0.27</v>
      </c>
      <c r="F306" s="823">
        <v>545.9</v>
      </c>
      <c r="G306" s="656">
        <f t="shared" si="56"/>
        <v>420.34299999999996</v>
      </c>
      <c r="H306" s="365">
        <f t="shared" si="57"/>
        <v>113.49</v>
      </c>
    </row>
    <row r="307" spans="1:8" s="658" customFormat="1" ht="16.5" thickBot="1" x14ac:dyDescent="0.3">
      <c r="A307" s="1093" t="s">
        <v>17</v>
      </c>
      <c r="B307" s="1094"/>
      <c r="C307" s="1094"/>
      <c r="D307" s="1094"/>
      <c r="E307" s="1094"/>
      <c r="F307" s="1094"/>
      <c r="G307" s="1095"/>
      <c r="H307" s="667">
        <f>ROUND(SUM(H292:H306),2)</f>
        <v>3702.22</v>
      </c>
    </row>
    <row r="308" spans="1:8" s="658" customFormat="1" ht="15.75" thickBot="1" x14ac:dyDescent="0.25">
      <c r="A308" s="669"/>
      <c r="B308" s="669"/>
      <c r="C308" s="670"/>
      <c r="D308" s="669"/>
      <c r="E308" s="672"/>
      <c r="F308" s="815"/>
      <c r="G308" s="673"/>
      <c r="H308" s="674"/>
    </row>
    <row r="309" spans="1:8" s="658" customFormat="1" ht="26.25" customHeight="1" x14ac:dyDescent="0.2">
      <c r="A309" s="1087" t="s">
        <v>592</v>
      </c>
      <c r="B309" s="1088"/>
      <c r="C309" s="1088"/>
      <c r="D309" s="1088"/>
      <c r="E309" s="1088"/>
      <c r="F309" s="1088"/>
      <c r="G309" s="1088"/>
      <c r="H309" s="1089"/>
    </row>
    <row r="310" spans="1:8" s="658" customFormat="1" ht="42.75" customHeight="1" x14ac:dyDescent="0.2">
      <c r="A310" s="1090" t="s">
        <v>374</v>
      </c>
      <c r="B310" s="1091"/>
      <c r="C310" s="1091"/>
      <c r="D310" s="1091"/>
      <c r="E310" s="1091"/>
      <c r="F310" s="1091"/>
      <c r="G310" s="1092"/>
      <c r="H310" s="645" t="s">
        <v>52</v>
      </c>
    </row>
    <row r="311" spans="1:8" s="658" customFormat="1" ht="32.25" thickBot="1" x14ac:dyDescent="0.25">
      <c r="A311" s="646" t="s">
        <v>800</v>
      </c>
      <c r="B311" s="647" t="s">
        <v>7</v>
      </c>
      <c r="C311" s="648" t="s">
        <v>16</v>
      </c>
      <c r="D311" s="649" t="s">
        <v>801</v>
      </c>
      <c r="E311" s="650" t="s">
        <v>2</v>
      </c>
      <c r="F311" s="811" t="s">
        <v>802</v>
      </c>
      <c r="G311" s="651" t="s">
        <v>802</v>
      </c>
      <c r="H311" s="652" t="s">
        <v>58</v>
      </c>
    </row>
    <row r="312" spans="1:8" s="658" customFormat="1" ht="45" x14ac:dyDescent="0.2">
      <c r="A312" s="653" t="s">
        <v>282</v>
      </c>
      <c r="B312" s="360">
        <v>7692</v>
      </c>
      <c r="C312" s="361" t="s">
        <v>386</v>
      </c>
      <c r="D312" s="654" t="s">
        <v>52</v>
      </c>
      <c r="E312" s="359">
        <v>1</v>
      </c>
      <c r="F312" s="812">
        <v>313.98</v>
      </c>
      <c r="G312" s="656">
        <f t="shared" ref="G312:G314" si="58">F312*$L$8+F312</f>
        <v>241.76460000000003</v>
      </c>
      <c r="H312" s="365">
        <f t="shared" ref="H312:H314" si="59">ROUND(E312*G312,2)</f>
        <v>241.76</v>
      </c>
    </row>
    <row r="313" spans="1:8" s="658" customFormat="1" ht="15" x14ac:dyDescent="0.2">
      <c r="A313" s="653" t="s">
        <v>12</v>
      </c>
      <c r="B313" s="666">
        <v>88315</v>
      </c>
      <c r="C313" s="362" t="s">
        <v>139</v>
      </c>
      <c r="D313" s="363" t="s">
        <v>123</v>
      </c>
      <c r="E313" s="364">
        <v>1</v>
      </c>
      <c r="F313" s="814">
        <v>21.19</v>
      </c>
      <c r="G313" s="656">
        <f t="shared" si="58"/>
        <v>16.316300000000002</v>
      </c>
      <c r="H313" s="365">
        <f t="shared" si="59"/>
        <v>16.32</v>
      </c>
    </row>
    <row r="314" spans="1:8" s="658" customFormat="1" ht="30" x14ac:dyDescent="0.2">
      <c r="A314" s="653" t="s">
        <v>12</v>
      </c>
      <c r="B314" s="666">
        <v>88251</v>
      </c>
      <c r="C314" s="362" t="s">
        <v>385</v>
      </c>
      <c r="D314" s="363" t="s">
        <v>123</v>
      </c>
      <c r="E314" s="364">
        <v>1</v>
      </c>
      <c r="F314" s="814">
        <v>17.5</v>
      </c>
      <c r="G314" s="656">
        <f t="shared" si="58"/>
        <v>13.475</v>
      </c>
      <c r="H314" s="365">
        <f t="shared" si="59"/>
        <v>13.48</v>
      </c>
    </row>
    <row r="315" spans="1:8" s="658" customFormat="1" ht="16.5" thickBot="1" x14ac:dyDescent="0.3">
      <c r="A315" s="1093" t="s">
        <v>17</v>
      </c>
      <c r="B315" s="1094"/>
      <c r="C315" s="1094"/>
      <c r="D315" s="1094"/>
      <c r="E315" s="1094"/>
      <c r="F315" s="1094"/>
      <c r="G315" s="1095"/>
      <c r="H315" s="667">
        <f>ROUND(SUM(H312:H314),2)</f>
        <v>271.56</v>
      </c>
    </row>
    <row r="316" spans="1:8" s="658" customFormat="1" ht="15.75" thickBot="1" x14ac:dyDescent="0.25">
      <c r="A316" s="669"/>
      <c r="B316" s="669"/>
      <c r="C316" s="670"/>
      <c r="D316" s="669"/>
      <c r="E316" s="672"/>
      <c r="F316" s="815"/>
      <c r="G316" s="673"/>
      <c r="H316" s="674"/>
    </row>
    <row r="317" spans="1:8" s="658" customFormat="1" ht="26.25" customHeight="1" x14ac:dyDescent="0.2">
      <c r="A317" s="1087" t="s">
        <v>591</v>
      </c>
      <c r="B317" s="1088"/>
      <c r="C317" s="1088"/>
      <c r="D317" s="1088"/>
      <c r="E317" s="1088"/>
      <c r="F317" s="1088"/>
      <c r="G317" s="1088"/>
      <c r="H317" s="1089"/>
    </row>
    <row r="318" spans="1:8" s="658" customFormat="1" ht="42.75" customHeight="1" x14ac:dyDescent="0.2">
      <c r="A318" s="1090" t="s">
        <v>375</v>
      </c>
      <c r="B318" s="1091"/>
      <c r="C318" s="1091"/>
      <c r="D318" s="1091"/>
      <c r="E318" s="1091"/>
      <c r="F318" s="1091"/>
      <c r="G318" s="1092"/>
      <c r="H318" s="645" t="s">
        <v>254</v>
      </c>
    </row>
    <row r="319" spans="1:8" s="658" customFormat="1" ht="32.25" thickBot="1" x14ac:dyDescent="0.25">
      <c r="A319" s="646" t="s">
        <v>800</v>
      </c>
      <c r="B319" s="647" t="s">
        <v>7</v>
      </c>
      <c r="C319" s="648" t="s">
        <v>16</v>
      </c>
      <c r="D319" s="649" t="s">
        <v>801</v>
      </c>
      <c r="E319" s="650" t="s">
        <v>2</v>
      </c>
      <c r="F319" s="811" t="s">
        <v>802</v>
      </c>
      <c r="G319" s="651" t="s">
        <v>802</v>
      </c>
      <c r="H319" s="652" t="s">
        <v>58</v>
      </c>
    </row>
    <row r="320" spans="1:8" s="658" customFormat="1" ht="30" x14ac:dyDescent="0.2">
      <c r="A320" s="653" t="s">
        <v>282</v>
      </c>
      <c r="B320" s="360">
        <v>11026</v>
      </c>
      <c r="C320" s="361" t="s">
        <v>383</v>
      </c>
      <c r="D320" s="654" t="s">
        <v>67</v>
      </c>
      <c r="E320" s="359">
        <v>1.4450000000000001</v>
      </c>
      <c r="F320" s="812">
        <v>12.65</v>
      </c>
      <c r="G320" s="656">
        <f t="shared" ref="G320:G324" si="60">F320*$L$8+F320</f>
        <v>9.7405000000000008</v>
      </c>
      <c r="H320" s="365">
        <f t="shared" ref="H320:H324" si="61">ROUND(E320*G320,2)</f>
        <v>14.08</v>
      </c>
    </row>
    <row r="321" spans="1:8" s="658" customFormat="1" ht="30" x14ac:dyDescent="0.2">
      <c r="A321" s="653" t="s">
        <v>282</v>
      </c>
      <c r="B321" s="666" t="s">
        <v>293</v>
      </c>
      <c r="C321" s="362" t="s">
        <v>384</v>
      </c>
      <c r="D321" s="363" t="s">
        <v>285</v>
      </c>
      <c r="E321" s="364">
        <v>4</v>
      </c>
      <c r="F321" s="814">
        <v>298.49</v>
      </c>
      <c r="G321" s="656">
        <f t="shared" si="60"/>
        <v>229.8373</v>
      </c>
      <c r="H321" s="365">
        <f t="shared" si="61"/>
        <v>919.35</v>
      </c>
    </row>
    <row r="322" spans="1:8" s="658" customFormat="1" ht="30" x14ac:dyDescent="0.2">
      <c r="A322" s="653" t="s">
        <v>12</v>
      </c>
      <c r="B322" s="666">
        <v>88251</v>
      </c>
      <c r="C322" s="362" t="s">
        <v>385</v>
      </c>
      <c r="D322" s="363" t="s">
        <v>123</v>
      </c>
      <c r="E322" s="364">
        <v>1.5</v>
      </c>
      <c r="F322" s="814">
        <v>17.5</v>
      </c>
      <c r="G322" s="656">
        <f t="shared" si="60"/>
        <v>13.475</v>
      </c>
      <c r="H322" s="365">
        <f t="shared" si="61"/>
        <v>20.21</v>
      </c>
    </row>
    <row r="323" spans="1:8" s="658" customFormat="1" ht="15" x14ac:dyDescent="0.2">
      <c r="A323" s="653" t="s">
        <v>12</v>
      </c>
      <c r="B323" s="666">
        <v>88315</v>
      </c>
      <c r="C323" s="362" t="s">
        <v>139</v>
      </c>
      <c r="D323" s="363" t="s">
        <v>123</v>
      </c>
      <c r="E323" s="364">
        <v>1.8</v>
      </c>
      <c r="F323" s="814">
        <v>21.19</v>
      </c>
      <c r="G323" s="656">
        <f t="shared" si="60"/>
        <v>16.316300000000002</v>
      </c>
      <c r="H323" s="365">
        <f t="shared" si="61"/>
        <v>29.37</v>
      </c>
    </row>
    <row r="324" spans="1:8" s="658" customFormat="1" ht="15" x14ac:dyDescent="0.2">
      <c r="A324" s="653" t="s">
        <v>12</v>
      </c>
      <c r="B324" s="666">
        <v>88317</v>
      </c>
      <c r="C324" s="362" t="s">
        <v>122</v>
      </c>
      <c r="D324" s="363" t="s">
        <v>123</v>
      </c>
      <c r="E324" s="364">
        <v>1.5</v>
      </c>
      <c r="F324" s="814">
        <v>22.01</v>
      </c>
      <c r="G324" s="656">
        <f t="shared" si="60"/>
        <v>16.947700000000001</v>
      </c>
      <c r="H324" s="365">
        <f t="shared" si="61"/>
        <v>25.42</v>
      </c>
    </row>
    <row r="325" spans="1:8" s="658" customFormat="1" ht="16.5" thickBot="1" x14ac:dyDescent="0.3">
      <c r="A325" s="1093" t="s">
        <v>17</v>
      </c>
      <c r="B325" s="1094"/>
      <c r="C325" s="1094"/>
      <c r="D325" s="1094"/>
      <c r="E325" s="1094"/>
      <c r="F325" s="1094"/>
      <c r="G325" s="1095"/>
      <c r="H325" s="667">
        <f>ROUND(SUM(H320:H324),2)</f>
        <v>1008.43</v>
      </c>
    </row>
    <row r="326" spans="1:8" s="658" customFormat="1" ht="15.75" thickBot="1" x14ac:dyDescent="0.25">
      <c r="A326" s="669"/>
      <c r="B326" s="669"/>
      <c r="C326" s="670"/>
      <c r="D326" s="669"/>
      <c r="E326" s="672"/>
      <c r="F326" s="815"/>
      <c r="G326" s="673"/>
      <c r="H326" s="674"/>
    </row>
    <row r="327" spans="1:8" s="658" customFormat="1" ht="26.25" customHeight="1" x14ac:dyDescent="0.2">
      <c r="A327" s="1087" t="s">
        <v>1136</v>
      </c>
      <c r="B327" s="1088"/>
      <c r="C327" s="1088"/>
      <c r="D327" s="1088"/>
      <c r="E327" s="1088"/>
      <c r="F327" s="1088"/>
      <c r="G327" s="1088"/>
      <c r="H327" s="1089"/>
    </row>
    <row r="328" spans="1:8" s="658" customFormat="1" ht="42.75" customHeight="1" x14ac:dyDescent="0.2">
      <c r="A328" s="1090" t="s">
        <v>379</v>
      </c>
      <c r="B328" s="1091"/>
      <c r="C328" s="1091"/>
      <c r="D328" s="1091"/>
      <c r="E328" s="1091"/>
      <c r="F328" s="1091"/>
      <c r="G328" s="1092"/>
      <c r="H328" s="645" t="s">
        <v>254</v>
      </c>
    </row>
    <row r="329" spans="1:8" s="658" customFormat="1" ht="32.25" thickBot="1" x14ac:dyDescent="0.25">
      <c r="A329" s="646" t="s">
        <v>800</v>
      </c>
      <c r="B329" s="647" t="s">
        <v>7</v>
      </c>
      <c r="C329" s="648" t="s">
        <v>16</v>
      </c>
      <c r="D329" s="649" t="s">
        <v>801</v>
      </c>
      <c r="E329" s="650" t="s">
        <v>2</v>
      </c>
      <c r="F329" s="811" t="s">
        <v>802</v>
      </c>
      <c r="G329" s="651" t="s">
        <v>802</v>
      </c>
      <c r="H329" s="652" t="s">
        <v>58</v>
      </c>
    </row>
    <row r="330" spans="1:8" s="658" customFormat="1" ht="30" x14ac:dyDescent="0.2">
      <c r="A330" s="653" t="s">
        <v>282</v>
      </c>
      <c r="B330" s="360">
        <v>39389</v>
      </c>
      <c r="C330" s="361" t="s">
        <v>387</v>
      </c>
      <c r="D330" s="654" t="s">
        <v>285</v>
      </c>
      <c r="E330" s="359">
        <v>1</v>
      </c>
      <c r="F330" s="812">
        <v>24.93</v>
      </c>
      <c r="G330" s="656">
        <f t="shared" ref="G330:G335" si="62">F330*$L$8+F330</f>
        <v>19.196100000000001</v>
      </c>
      <c r="H330" s="365">
        <f t="shared" ref="H330:H335" si="63">ROUND(E330*G330,2)</f>
        <v>19.2</v>
      </c>
    </row>
    <row r="331" spans="1:8" s="658" customFormat="1" ht="45" x14ac:dyDescent="0.2">
      <c r="A331" s="653" t="s">
        <v>12</v>
      </c>
      <c r="B331" s="666">
        <v>92716</v>
      </c>
      <c r="C331" s="362" t="s">
        <v>388</v>
      </c>
      <c r="D331" s="363" t="s">
        <v>315</v>
      </c>
      <c r="E331" s="364">
        <v>0.3</v>
      </c>
      <c r="F331" s="814">
        <v>21.46</v>
      </c>
      <c r="G331" s="656">
        <f t="shared" si="62"/>
        <v>16.5242</v>
      </c>
      <c r="H331" s="365">
        <f t="shared" si="63"/>
        <v>4.96</v>
      </c>
    </row>
    <row r="332" spans="1:8" s="658" customFormat="1" ht="15" x14ac:dyDescent="0.2">
      <c r="A332" s="653" t="s">
        <v>12</v>
      </c>
      <c r="B332" s="666">
        <v>88264</v>
      </c>
      <c r="C332" s="362" t="s">
        <v>348</v>
      </c>
      <c r="D332" s="363" t="s">
        <v>123</v>
      </c>
      <c r="E332" s="364">
        <v>0.5</v>
      </c>
      <c r="F332" s="814">
        <v>21.52</v>
      </c>
      <c r="G332" s="656">
        <f t="shared" si="62"/>
        <v>16.570399999999999</v>
      </c>
      <c r="H332" s="365">
        <f t="shared" si="63"/>
        <v>8.2899999999999991</v>
      </c>
    </row>
    <row r="333" spans="1:8" s="658" customFormat="1" ht="15" x14ac:dyDescent="0.2">
      <c r="A333" s="653" t="s">
        <v>12</v>
      </c>
      <c r="B333" s="666">
        <v>88316</v>
      </c>
      <c r="C333" s="362" t="s">
        <v>93</v>
      </c>
      <c r="D333" s="363" t="s">
        <v>123</v>
      </c>
      <c r="E333" s="364">
        <v>0.5</v>
      </c>
      <c r="F333" s="814">
        <v>17.09</v>
      </c>
      <c r="G333" s="656">
        <f t="shared" si="62"/>
        <v>13.1593</v>
      </c>
      <c r="H333" s="365">
        <f t="shared" si="63"/>
        <v>6.58</v>
      </c>
    </row>
    <row r="334" spans="1:8" s="658" customFormat="1" ht="15" x14ac:dyDescent="0.2">
      <c r="A334" s="653" t="s">
        <v>12</v>
      </c>
      <c r="B334" s="666">
        <v>88315</v>
      </c>
      <c r="C334" s="362" t="s">
        <v>139</v>
      </c>
      <c r="D334" s="363" t="s">
        <v>123</v>
      </c>
      <c r="E334" s="364">
        <v>0.5</v>
      </c>
      <c r="F334" s="814">
        <v>21.19</v>
      </c>
      <c r="G334" s="656">
        <f t="shared" si="62"/>
        <v>16.316300000000002</v>
      </c>
      <c r="H334" s="365">
        <f t="shared" si="63"/>
        <v>8.16</v>
      </c>
    </row>
    <row r="335" spans="1:8" s="658" customFormat="1" ht="30" x14ac:dyDescent="0.2">
      <c r="A335" s="653" t="s">
        <v>12</v>
      </c>
      <c r="B335" s="666">
        <v>88251</v>
      </c>
      <c r="C335" s="362" t="s">
        <v>385</v>
      </c>
      <c r="D335" s="363" t="s">
        <v>123</v>
      </c>
      <c r="E335" s="364">
        <v>0.5</v>
      </c>
      <c r="F335" s="814">
        <v>17.5</v>
      </c>
      <c r="G335" s="656">
        <f t="shared" si="62"/>
        <v>13.475</v>
      </c>
      <c r="H335" s="365">
        <f t="shared" si="63"/>
        <v>6.74</v>
      </c>
    </row>
    <row r="336" spans="1:8" s="658" customFormat="1" ht="16.5" thickBot="1" x14ac:dyDescent="0.3">
      <c r="A336" s="1093" t="s">
        <v>17</v>
      </c>
      <c r="B336" s="1094"/>
      <c r="C336" s="1094"/>
      <c r="D336" s="1094"/>
      <c r="E336" s="1094"/>
      <c r="F336" s="1094"/>
      <c r="G336" s="1095"/>
      <c r="H336" s="667">
        <f>ROUND(SUM(H330:H335),2)</f>
        <v>53.93</v>
      </c>
    </row>
    <row r="337" spans="1:8" s="658" customFormat="1" ht="24.75" customHeight="1" x14ac:dyDescent="0.2">
      <c r="A337" s="1096" t="str">
        <f>CONCATENATE("MEMÓRIA DE CÁLCULO ",A353)</f>
        <v>MEMÓRIA DE CÁLCULO COMPOSIÇÃO 32</v>
      </c>
      <c r="B337" s="1096"/>
      <c r="C337" s="1096"/>
      <c r="D337" s="1096"/>
      <c r="E337" s="1096"/>
      <c r="F337" s="1096"/>
      <c r="G337" s="1096"/>
      <c r="H337" s="1096"/>
    </row>
    <row r="338" spans="1:8" s="658" customFormat="1" ht="15" x14ac:dyDescent="0.2">
      <c r="A338" s="669"/>
      <c r="B338" s="669"/>
      <c r="C338" s="670"/>
      <c r="D338" s="669"/>
      <c r="E338" s="672"/>
      <c r="F338" s="815"/>
      <c r="G338" s="673"/>
      <c r="H338" s="674"/>
    </row>
    <row r="339" spans="1:8" s="658" customFormat="1" ht="15" x14ac:dyDescent="0.2">
      <c r="A339" s="1097" t="s">
        <v>1142</v>
      </c>
      <c r="B339" s="1097"/>
      <c r="C339" s="670"/>
      <c r="D339" s="669"/>
      <c r="E339" s="672"/>
      <c r="F339" s="815"/>
      <c r="G339" s="673"/>
      <c r="H339" s="674"/>
    </row>
    <row r="340" spans="1:8" s="658" customFormat="1" ht="15" x14ac:dyDescent="0.2">
      <c r="A340" s="654" t="s">
        <v>152</v>
      </c>
      <c r="B340" s="654" t="s">
        <v>98</v>
      </c>
      <c r="C340" s="670"/>
      <c r="D340" s="669"/>
      <c r="E340" s="672"/>
      <c r="F340" s="815"/>
      <c r="G340" s="673"/>
      <c r="H340" s="674"/>
    </row>
    <row r="341" spans="1:8" s="658" customFormat="1" ht="15" x14ac:dyDescent="0.2">
      <c r="A341" s="682">
        <v>0.6</v>
      </c>
      <c r="B341" s="682">
        <v>0.8</v>
      </c>
      <c r="C341" s="670"/>
      <c r="D341" s="669"/>
      <c r="E341" s="672"/>
      <c r="F341" s="815"/>
      <c r="G341" s="673"/>
      <c r="H341" s="674"/>
    </row>
    <row r="342" spans="1:8" s="658" customFormat="1" ht="15" x14ac:dyDescent="0.2">
      <c r="A342" s="682">
        <v>0.7</v>
      </c>
      <c r="B342" s="682">
        <v>0.8</v>
      </c>
      <c r="C342" s="670"/>
      <c r="D342" s="669"/>
      <c r="E342" s="672"/>
      <c r="F342" s="815"/>
      <c r="G342" s="673"/>
      <c r="H342" s="674"/>
    </row>
    <row r="343" spans="1:8" s="658" customFormat="1" ht="15" x14ac:dyDescent="0.2">
      <c r="A343" s="682">
        <v>0.6</v>
      </c>
      <c r="B343" s="682">
        <v>0.65</v>
      </c>
      <c r="C343" s="670"/>
      <c r="D343" s="669"/>
      <c r="E343" s="672"/>
      <c r="F343" s="815"/>
      <c r="G343" s="673"/>
      <c r="H343" s="674"/>
    </row>
    <row r="344" spans="1:8" s="658" customFormat="1" ht="15" x14ac:dyDescent="0.2">
      <c r="A344" s="682">
        <v>0.7</v>
      </c>
      <c r="B344" s="682">
        <v>0.65</v>
      </c>
      <c r="C344" s="670"/>
      <c r="D344" s="669"/>
      <c r="E344" s="672"/>
      <c r="F344" s="815"/>
      <c r="G344" s="673"/>
      <c r="H344" s="674"/>
    </row>
    <row r="345" spans="1:8" s="658" customFormat="1" ht="15" x14ac:dyDescent="0.2">
      <c r="A345" s="682">
        <v>0.7</v>
      </c>
      <c r="B345" s="682">
        <v>0.6</v>
      </c>
      <c r="C345" s="670" t="s">
        <v>152</v>
      </c>
      <c r="D345" s="669"/>
      <c r="E345" s="672"/>
      <c r="F345" s="815"/>
      <c r="G345" s="673"/>
      <c r="H345" s="674"/>
    </row>
    <row r="346" spans="1:8" s="658" customFormat="1" ht="15" x14ac:dyDescent="0.2">
      <c r="A346" s="669"/>
      <c r="B346" s="681"/>
      <c r="C346" s="670"/>
      <c r="D346" s="669"/>
      <c r="E346" s="672"/>
      <c r="F346" s="815"/>
      <c r="G346" s="673"/>
      <c r="H346" s="674"/>
    </row>
    <row r="347" spans="1:8" s="658" customFormat="1" ht="18.75" customHeight="1" x14ac:dyDescent="0.2">
      <c r="A347" s="683" t="s">
        <v>1105</v>
      </c>
      <c r="B347" s="684">
        <f>ROUND((A341*B341)+(A342*B342)+(A343*B343)+(A344*B344)+(A345*B345),2)</f>
        <v>2.31</v>
      </c>
      <c r="C347" s="670"/>
      <c r="D347" s="669"/>
      <c r="E347" s="672"/>
      <c r="F347" s="815"/>
      <c r="G347" s="673"/>
      <c r="H347" s="674"/>
    </row>
    <row r="348" spans="1:8" s="658" customFormat="1" ht="15" x14ac:dyDescent="0.2">
      <c r="A348" s="669"/>
      <c r="B348" s="669"/>
      <c r="C348" s="670"/>
      <c r="D348" s="669"/>
      <c r="E348" s="672"/>
      <c r="F348" s="815"/>
      <c r="G348" s="673"/>
      <c r="H348" s="674"/>
    </row>
    <row r="349" spans="1:8" s="658" customFormat="1" ht="30" x14ac:dyDescent="0.2">
      <c r="A349" s="685" t="s">
        <v>1143</v>
      </c>
      <c r="B349" s="684">
        <v>0.12</v>
      </c>
      <c r="C349" s="670"/>
      <c r="D349" s="669"/>
      <c r="E349" s="672"/>
      <c r="F349" s="815"/>
      <c r="G349" s="673"/>
      <c r="H349" s="674"/>
    </row>
    <row r="350" spans="1:8" s="658" customFormat="1" ht="15" x14ac:dyDescent="0.2">
      <c r="A350" s="669"/>
      <c r="B350" s="669"/>
      <c r="C350" s="670"/>
      <c r="D350" s="669"/>
      <c r="E350" s="672"/>
      <c r="F350" s="815"/>
      <c r="G350" s="673"/>
      <c r="H350" s="674"/>
    </row>
    <row r="351" spans="1:8" s="658" customFormat="1" ht="15" x14ac:dyDescent="0.2">
      <c r="A351" s="683" t="s">
        <v>1144</v>
      </c>
      <c r="B351" s="684">
        <f>ROUND(B347*B349,2)</f>
        <v>0.28000000000000003</v>
      </c>
      <c r="C351" s="670"/>
      <c r="D351" s="669"/>
      <c r="E351" s="672"/>
      <c r="F351" s="815"/>
      <c r="G351" s="673"/>
      <c r="H351" s="674"/>
    </row>
    <row r="352" spans="1:8" s="658" customFormat="1" ht="15.75" thickBot="1" x14ac:dyDescent="0.25">
      <c r="A352" s="669"/>
      <c r="B352" s="669"/>
      <c r="C352" s="670"/>
      <c r="D352" s="669"/>
      <c r="E352" s="672"/>
      <c r="F352" s="815"/>
      <c r="G352" s="673"/>
      <c r="H352" s="674"/>
    </row>
    <row r="353" spans="1:8" s="658" customFormat="1" ht="26.25" customHeight="1" x14ac:dyDescent="0.2">
      <c r="A353" s="1087" t="s">
        <v>1141</v>
      </c>
      <c r="B353" s="1088"/>
      <c r="C353" s="1088"/>
      <c r="D353" s="1088"/>
      <c r="E353" s="1088"/>
      <c r="F353" s="1088"/>
      <c r="G353" s="1088"/>
      <c r="H353" s="1089"/>
    </row>
    <row r="354" spans="1:8" s="658" customFormat="1" ht="42.75" customHeight="1" x14ac:dyDescent="0.2">
      <c r="A354" s="1090" t="s">
        <v>1147</v>
      </c>
      <c r="B354" s="1091"/>
      <c r="C354" s="1091"/>
      <c r="D354" s="1091"/>
      <c r="E354" s="1091"/>
      <c r="F354" s="1091"/>
      <c r="G354" s="1092"/>
      <c r="H354" s="645" t="s">
        <v>254</v>
      </c>
    </row>
    <row r="355" spans="1:8" s="658" customFormat="1" ht="32.25" thickBot="1" x14ac:dyDescent="0.25">
      <c r="A355" s="646" t="s">
        <v>800</v>
      </c>
      <c r="B355" s="647" t="s">
        <v>7</v>
      </c>
      <c r="C355" s="648" t="s">
        <v>16</v>
      </c>
      <c r="D355" s="649" t="s">
        <v>801</v>
      </c>
      <c r="E355" s="650" t="s">
        <v>2</v>
      </c>
      <c r="F355" s="811" t="s">
        <v>802</v>
      </c>
      <c r="G355" s="651" t="s">
        <v>802</v>
      </c>
      <c r="H355" s="652" t="s">
        <v>58</v>
      </c>
    </row>
    <row r="356" spans="1:8" s="658" customFormat="1" ht="20.25" customHeight="1" x14ac:dyDescent="0.2">
      <c r="A356" s="653" t="s">
        <v>267</v>
      </c>
      <c r="B356" s="666" t="s">
        <v>765</v>
      </c>
      <c r="C356" s="362" t="s">
        <v>766</v>
      </c>
      <c r="D356" s="363" t="s">
        <v>141</v>
      </c>
      <c r="E356" s="364">
        <f>0.6*0.7*0.33</f>
        <v>0.1386</v>
      </c>
      <c r="F356" s="814">
        <v>51.21</v>
      </c>
      <c r="G356" s="656">
        <f t="shared" ref="G356:G360" si="64">F356*$L$8+F356</f>
        <v>39.431699999999999</v>
      </c>
      <c r="H356" s="365">
        <f t="shared" ref="H356:H358" si="65">ROUND(E356*G356,2)</f>
        <v>5.47</v>
      </c>
    </row>
    <row r="357" spans="1:8" s="658" customFormat="1" ht="45" x14ac:dyDescent="0.2">
      <c r="A357" s="653" t="s">
        <v>12</v>
      </c>
      <c r="B357" s="666" t="s">
        <v>126</v>
      </c>
      <c r="C357" s="362" t="s">
        <v>299</v>
      </c>
      <c r="D357" s="363" t="s">
        <v>69</v>
      </c>
      <c r="E357" s="364">
        <f>0.7*0.6</f>
        <v>0.42</v>
      </c>
      <c r="F357" s="814">
        <v>17.350000000000001</v>
      </c>
      <c r="G357" s="656">
        <f t="shared" si="64"/>
        <v>13.359500000000001</v>
      </c>
      <c r="H357" s="365">
        <f t="shared" si="65"/>
        <v>5.61</v>
      </c>
    </row>
    <row r="358" spans="1:8" s="658" customFormat="1" ht="45" x14ac:dyDescent="0.2">
      <c r="A358" s="653" t="s">
        <v>12</v>
      </c>
      <c r="B358" s="666" t="s">
        <v>275</v>
      </c>
      <c r="C358" s="362" t="s">
        <v>276</v>
      </c>
      <c r="D358" s="363" t="s">
        <v>141</v>
      </c>
      <c r="E358" s="364">
        <f>0.6*0.7*0.3</f>
        <v>0.126</v>
      </c>
      <c r="F358" s="814">
        <v>545.9</v>
      </c>
      <c r="G358" s="656">
        <f t="shared" si="64"/>
        <v>420.34299999999996</v>
      </c>
      <c r="H358" s="365">
        <f t="shared" si="65"/>
        <v>52.96</v>
      </c>
    </row>
    <row r="359" spans="1:8" s="658" customFormat="1" ht="49.5" customHeight="1" x14ac:dyDescent="0.2">
      <c r="A359" s="653" t="s">
        <v>12</v>
      </c>
      <c r="B359" s="360" t="s">
        <v>1139</v>
      </c>
      <c r="C359" s="361" t="s">
        <v>1140</v>
      </c>
      <c r="D359" s="654" t="s">
        <v>141</v>
      </c>
      <c r="E359" s="359">
        <f>B351</f>
        <v>0.28000000000000003</v>
      </c>
      <c r="F359" s="812">
        <v>2223.44</v>
      </c>
      <c r="G359" s="656">
        <f t="shared" si="64"/>
        <v>1712.0488</v>
      </c>
      <c r="H359" s="365">
        <f t="shared" ref="H359" si="66">ROUND(E359*G359,2)</f>
        <v>479.37</v>
      </c>
    </row>
    <row r="360" spans="1:8" s="658" customFormat="1" ht="36.75" customHeight="1" x14ac:dyDescent="0.2">
      <c r="A360" s="653" t="s">
        <v>267</v>
      </c>
      <c r="B360" s="666" t="s">
        <v>1137</v>
      </c>
      <c r="C360" s="362" t="s">
        <v>1138</v>
      </c>
      <c r="D360" s="363" t="s">
        <v>124</v>
      </c>
      <c r="E360" s="364">
        <v>1</v>
      </c>
      <c r="F360" s="814">
        <v>791.72</v>
      </c>
      <c r="G360" s="656">
        <f t="shared" si="64"/>
        <v>609.62440000000004</v>
      </c>
      <c r="H360" s="365">
        <f t="shared" ref="H360" si="67">ROUND(E360*G360,2)</f>
        <v>609.62</v>
      </c>
    </row>
    <row r="361" spans="1:8" s="658" customFormat="1" ht="16.5" thickBot="1" x14ac:dyDescent="0.3">
      <c r="A361" s="1093" t="s">
        <v>17</v>
      </c>
      <c r="B361" s="1094"/>
      <c r="C361" s="1094"/>
      <c r="D361" s="1094"/>
      <c r="E361" s="1094"/>
      <c r="F361" s="1094"/>
      <c r="G361" s="1095"/>
      <c r="H361" s="667">
        <f>ROUND(SUM(H356:H360),2)</f>
        <v>1153.03</v>
      </c>
    </row>
    <row r="362" spans="1:8" s="658" customFormat="1" ht="15" x14ac:dyDescent="0.2">
      <c r="A362" s="669"/>
      <c r="B362" s="669"/>
      <c r="C362" s="670"/>
      <c r="D362" s="669"/>
      <c r="E362" s="672"/>
      <c r="F362" s="815"/>
      <c r="G362" s="673"/>
      <c r="H362" s="674"/>
    </row>
    <row r="363" spans="1:8" s="658" customFormat="1" ht="15" x14ac:dyDescent="0.2">
      <c r="A363" s="669"/>
      <c r="B363" s="669"/>
      <c r="C363" s="670"/>
      <c r="D363" s="669"/>
      <c r="E363" s="672"/>
      <c r="F363" s="815"/>
      <c r="G363" s="673"/>
      <c r="H363" s="674"/>
    </row>
    <row r="364" spans="1:8" s="658" customFormat="1" ht="15.75" x14ac:dyDescent="0.25">
      <c r="A364" s="669"/>
      <c r="B364" s="669"/>
      <c r="C364"/>
      <c r="D364" s="669"/>
      <c r="E364" s="672"/>
      <c r="F364" s="815"/>
      <c r="G364" s="673"/>
      <c r="H364" s="674"/>
    </row>
    <row r="365" spans="1:8" s="658" customFormat="1" ht="15" x14ac:dyDescent="0.2">
      <c r="A365" s="669"/>
      <c r="B365" s="669"/>
      <c r="C365" s="670"/>
      <c r="D365" s="669"/>
      <c r="E365" s="672"/>
      <c r="F365" s="815"/>
      <c r="G365" s="673"/>
      <c r="H365" s="674"/>
    </row>
    <row r="366" spans="1:8" s="658" customFormat="1" ht="15" x14ac:dyDescent="0.2">
      <c r="A366" s="669"/>
      <c r="B366" s="669"/>
      <c r="C366" s="670"/>
      <c r="D366" s="669"/>
      <c r="E366" s="672"/>
      <c r="F366" s="815"/>
      <c r="G366" s="673"/>
      <c r="H366" s="674"/>
    </row>
    <row r="367" spans="1:8" s="658" customFormat="1" ht="15" x14ac:dyDescent="0.2">
      <c r="A367" s="669"/>
      <c r="B367" s="669"/>
      <c r="C367" s="670"/>
      <c r="D367" s="669"/>
      <c r="E367" s="672"/>
      <c r="F367" s="815"/>
      <c r="G367" s="673"/>
      <c r="H367" s="674"/>
    </row>
    <row r="368" spans="1:8" s="658" customFormat="1" ht="15" x14ac:dyDescent="0.2">
      <c r="A368" s="669"/>
      <c r="B368" s="669"/>
      <c r="C368" s="670"/>
      <c r="D368" s="669"/>
      <c r="E368" s="672"/>
      <c r="F368" s="815"/>
      <c r="G368" s="673"/>
      <c r="H368" s="674"/>
    </row>
    <row r="369" spans="1:8" s="658" customFormat="1" ht="15" x14ac:dyDescent="0.2">
      <c r="A369" s="669"/>
      <c r="B369" s="669"/>
      <c r="C369" s="670"/>
      <c r="D369" s="669"/>
      <c r="E369" s="672"/>
      <c r="F369" s="815"/>
      <c r="G369" s="673"/>
      <c r="H369" s="674"/>
    </row>
    <row r="371" spans="1:8" ht="15" x14ac:dyDescent="0.25">
      <c r="C371"/>
    </row>
  </sheetData>
  <mergeCells count="113">
    <mergeCell ref="L7:M7"/>
    <mergeCell ref="A169:G169"/>
    <mergeCell ref="A171:H171"/>
    <mergeCell ref="A172:G172"/>
    <mergeCell ref="A219:G219"/>
    <mergeCell ref="A221:H221"/>
    <mergeCell ref="A222:G222"/>
    <mergeCell ref="A137:H137"/>
    <mergeCell ref="A138:G138"/>
    <mergeCell ref="A141:G141"/>
    <mergeCell ref="A143:H143"/>
    <mergeCell ref="A144:G144"/>
    <mergeCell ref="A147:G147"/>
    <mergeCell ref="A160:H160"/>
    <mergeCell ref="A161:G161"/>
    <mergeCell ref="A149:H149"/>
    <mergeCell ref="A150:G150"/>
    <mergeCell ref="A158:G158"/>
    <mergeCell ref="B8:C8"/>
    <mergeCell ref="B7:C7"/>
    <mergeCell ref="B9:C9"/>
    <mergeCell ref="A48:G48"/>
    <mergeCell ref="A104:G104"/>
    <mergeCell ref="A93:H93"/>
    <mergeCell ref="A328:G328"/>
    <mergeCell ref="A336:G336"/>
    <mergeCell ref="A315:G315"/>
    <mergeCell ref="A317:H317"/>
    <mergeCell ref="A325:G325"/>
    <mergeCell ref="A245:G245"/>
    <mergeCell ref="A247:H247"/>
    <mergeCell ref="A248:G248"/>
    <mergeCell ref="A255:G255"/>
    <mergeCell ref="A257:H257"/>
    <mergeCell ref="A258:G258"/>
    <mergeCell ref="A269:G269"/>
    <mergeCell ref="A271:H271"/>
    <mergeCell ref="A272:G272"/>
    <mergeCell ref="A318:G318"/>
    <mergeCell ref="A283:H283"/>
    <mergeCell ref="A284:G284"/>
    <mergeCell ref="A1:H1"/>
    <mergeCell ref="B5:H5"/>
    <mergeCell ref="B6:H6"/>
    <mergeCell ref="A57:G57"/>
    <mergeCell ref="A84:H84"/>
    <mergeCell ref="A85:G85"/>
    <mergeCell ref="A50:H50"/>
    <mergeCell ref="A51:G51"/>
    <mergeCell ref="A13:H13"/>
    <mergeCell ref="A14:G14"/>
    <mergeCell ref="A20:H20"/>
    <mergeCell ref="A21:G21"/>
    <mergeCell ref="A28:H28"/>
    <mergeCell ref="A29:G29"/>
    <mergeCell ref="A41:H41"/>
    <mergeCell ref="A42:G42"/>
    <mergeCell ref="A39:G39"/>
    <mergeCell ref="A2:H2"/>
    <mergeCell ref="A3:H3"/>
    <mergeCell ref="B4:E4"/>
    <mergeCell ref="G7:H7"/>
    <mergeCell ref="G8:H8"/>
    <mergeCell ref="D7:E8"/>
    <mergeCell ref="A119:H119"/>
    <mergeCell ref="A120:G120"/>
    <mergeCell ref="A135:G135"/>
    <mergeCell ref="A26:G26"/>
    <mergeCell ref="A123:G123"/>
    <mergeCell ref="A125:H125"/>
    <mergeCell ref="A126:G126"/>
    <mergeCell ref="A129:G129"/>
    <mergeCell ref="A131:H131"/>
    <mergeCell ref="A132:G132"/>
    <mergeCell ref="A91:G91"/>
    <mergeCell ref="G9:H9"/>
    <mergeCell ref="D9:E9"/>
    <mergeCell ref="A94:G94"/>
    <mergeCell ref="A73:H73"/>
    <mergeCell ref="A74:G74"/>
    <mergeCell ref="A82:G82"/>
    <mergeCell ref="A117:G117"/>
    <mergeCell ref="A106:H106"/>
    <mergeCell ref="A107:G107"/>
    <mergeCell ref="A11:H11"/>
    <mergeCell ref="A18:G18"/>
    <mergeCell ref="A59:H59"/>
    <mergeCell ref="A60:G60"/>
    <mergeCell ref="A71:G71"/>
    <mergeCell ref="A353:H353"/>
    <mergeCell ref="A354:G354"/>
    <mergeCell ref="A361:G361"/>
    <mergeCell ref="A337:H337"/>
    <mergeCell ref="A339:B339"/>
    <mergeCell ref="A187:G187"/>
    <mergeCell ref="A190:G190"/>
    <mergeCell ref="A228:G228"/>
    <mergeCell ref="A230:H230"/>
    <mergeCell ref="A231:G231"/>
    <mergeCell ref="A236:G236"/>
    <mergeCell ref="A238:H238"/>
    <mergeCell ref="A239:G239"/>
    <mergeCell ref="A210:G210"/>
    <mergeCell ref="A212:H212"/>
    <mergeCell ref="A213:G213"/>
    <mergeCell ref="A310:G310"/>
    <mergeCell ref="A287:G287"/>
    <mergeCell ref="A281:G281"/>
    <mergeCell ref="A289:H289"/>
    <mergeCell ref="A290:G290"/>
    <mergeCell ref="A307:G307"/>
    <mergeCell ref="A309:H309"/>
    <mergeCell ref="A327:H327"/>
  </mergeCells>
  <conditionalFormatting sqref="E86">
    <cfRule type="expression" dxfId="127" priority="185" stopIfTrue="1">
      <formula>AND(#REF!&lt;&gt;"COMPOSICAO",#REF!&lt;&gt;"INSUMO",#REF!&lt;&gt;"")</formula>
    </cfRule>
    <cfRule type="expression" dxfId="126" priority="186" stopIfTrue="1">
      <formula>AND(OR(#REF!="COMPOSICAO",#REF!="INSUMO",#REF!&lt;&gt;""),#REF!&lt;&gt;"")</formula>
    </cfRule>
  </conditionalFormatting>
  <conditionalFormatting sqref="D86 A86">
    <cfRule type="expression" dxfId="125" priority="187" stopIfTrue="1">
      <formula>AND(#REF!&lt;&gt;"COMPOSICAO",#REF!&lt;&gt;"INSUMO",#REF!&lt;&gt;"")</formula>
    </cfRule>
    <cfRule type="expression" dxfId="124" priority="188" stopIfTrue="1">
      <formula>AND(OR(#REF!="COMPOSICAO",#REF!="INSUMO",#REF!&lt;&gt;""),#REF!&lt;&gt;"")</formula>
    </cfRule>
  </conditionalFormatting>
  <conditionalFormatting sqref="E52">
    <cfRule type="expression" dxfId="123" priority="181" stopIfTrue="1">
      <formula>AND(#REF!&lt;&gt;"COMPOSICAO",#REF!&lt;&gt;"INSUMO",#REF!&lt;&gt;"")</formula>
    </cfRule>
    <cfRule type="expression" dxfId="122" priority="182" stopIfTrue="1">
      <formula>AND(OR(#REF!="COMPOSICAO",#REF!="INSUMO",#REF!&lt;&gt;""),#REF!&lt;&gt;"")</formula>
    </cfRule>
  </conditionalFormatting>
  <conditionalFormatting sqref="D52 A52">
    <cfRule type="expression" dxfId="121" priority="183" stopIfTrue="1">
      <formula>AND(#REF!&lt;&gt;"COMPOSICAO",#REF!&lt;&gt;"INSUMO",#REF!&lt;&gt;"")</formula>
    </cfRule>
    <cfRule type="expression" dxfId="120" priority="184" stopIfTrue="1">
      <formula>AND(OR(#REF!="COMPOSICAO",#REF!="INSUMO",#REF!&lt;&gt;""),#REF!&lt;&gt;"")</formula>
    </cfRule>
  </conditionalFormatting>
  <conditionalFormatting sqref="E15">
    <cfRule type="expression" dxfId="119" priority="177" stopIfTrue="1">
      <formula>AND(#REF!&lt;&gt;"COMPOSICAO",#REF!&lt;&gt;"INSUMO",#REF!&lt;&gt;"")</formula>
    </cfRule>
    <cfRule type="expression" dxfId="118" priority="178" stopIfTrue="1">
      <formula>AND(OR(#REF!="COMPOSICAO",#REF!="INSUMO",#REF!&lt;&gt;""),#REF!&lt;&gt;"")</formula>
    </cfRule>
  </conditionalFormatting>
  <conditionalFormatting sqref="D15 A15">
    <cfRule type="expression" dxfId="117" priority="179" stopIfTrue="1">
      <formula>AND(#REF!&lt;&gt;"COMPOSICAO",#REF!&lt;&gt;"INSUMO",#REF!&lt;&gt;"")</formula>
    </cfRule>
    <cfRule type="expression" dxfId="116" priority="180" stopIfTrue="1">
      <formula>AND(OR(#REF!="COMPOSICAO",#REF!="INSUMO",#REF!&lt;&gt;""),#REF!&lt;&gt;"")</formula>
    </cfRule>
  </conditionalFormatting>
  <conditionalFormatting sqref="E22">
    <cfRule type="expression" dxfId="115" priority="165" stopIfTrue="1">
      <formula>AND(#REF!&lt;&gt;"COMPOSICAO",#REF!&lt;&gt;"INSUMO",#REF!&lt;&gt;"")</formula>
    </cfRule>
    <cfRule type="expression" dxfId="114" priority="166" stopIfTrue="1">
      <formula>AND(OR(#REF!="COMPOSICAO",#REF!="INSUMO",#REF!&lt;&gt;""),#REF!&lt;&gt;"")</formula>
    </cfRule>
  </conditionalFormatting>
  <conditionalFormatting sqref="D22 A22">
    <cfRule type="expression" dxfId="113" priority="167" stopIfTrue="1">
      <formula>AND(#REF!&lt;&gt;"COMPOSICAO",#REF!&lt;&gt;"INSUMO",#REF!&lt;&gt;"")</formula>
    </cfRule>
    <cfRule type="expression" dxfId="112" priority="168" stopIfTrue="1">
      <formula>AND(OR(#REF!="COMPOSICAO",#REF!="INSUMO",#REF!&lt;&gt;""),#REF!&lt;&gt;"")</formula>
    </cfRule>
  </conditionalFormatting>
  <conditionalFormatting sqref="E30">
    <cfRule type="expression" dxfId="111" priority="161" stopIfTrue="1">
      <formula>AND(#REF!&lt;&gt;"COMPOSICAO",#REF!&lt;&gt;"INSUMO",#REF!&lt;&gt;"")</formula>
    </cfRule>
    <cfRule type="expression" dxfId="110" priority="162" stopIfTrue="1">
      <formula>AND(OR(#REF!="COMPOSICAO",#REF!="INSUMO",#REF!&lt;&gt;""),#REF!&lt;&gt;"")</formula>
    </cfRule>
  </conditionalFormatting>
  <conditionalFormatting sqref="D30 A30">
    <cfRule type="expression" dxfId="109" priority="163" stopIfTrue="1">
      <formula>AND(#REF!&lt;&gt;"COMPOSICAO",#REF!&lt;&gt;"INSUMO",#REF!&lt;&gt;"")</formula>
    </cfRule>
    <cfRule type="expression" dxfId="108" priority="164" stopIfTrue="1">
      <formula>AND(OR(#REF!="COMPOSICAO",#REF!="INSUMO",#REF!&lt;&gt;""),#REF!&lt;&gt;"")</formula>
    </cfRule>
  </conditionalFormatting>
  <conditionalFormatting sqref="E43">
    <cfRule type="expression" dxfId="107" priority="153" stopIfTrue="1">
      <formula>AND(#REF!&lt;&gt;"COMPOSICAO",#REF!&lt;&gt;"INSUMO",#REF!&lt;&gt;"")</formula>
    </cfRule>
    <cfRule type="expression" dxfId="106" priority="154" stopIfTrue="1">
      <formula>AND(OR(#REF!="COMPOSICAO",#REF!="INSUMO",#REF!&lt;&gt;""),#REF!&lt;&gt;"")</formula>
    </cfRule>
  </conditionalFormatting>
  <conditionalFormatting sqref="D43 A43">
    <cfRule type="expression" dxfId="105" priority="155" stopIfTrue="1">
      <formula>AND(#REF!&lt;&gt;"COMPOSICAO",#REF!&lt;&gt;"INSUMO",#REF!&lt;&gt;"")</formula>
    </cfRule>
    <cfRule type="expression" dxfId="104" priority="156" stopIfTrue="1">
      <formula>AND(OR(#REF!="COMPOSICAO",#REF!="INSUMO",#REF!&lt;&gt;""),#REF!&lt;&gt;"")</formula>
    </cfRule>
  </conditionalFormatting>
  <conditionalFormatting sqref="E95">
    <cfRule type="expression" dxfId="103" priority="149" stopIfTrue="1">
      <formula>AND(#REF!&lt;&gt;"COMPOSICAO",#REF!&lt;&gt;"INSUMO",#REF!&lt;&gt;"")</formula>
    </cfRule>
    <cfRule type="expression" dxfId="102" priority="150" stopIfTrue="1">
      <formula>AND(OR(#REF!="COMPOSICAO",#REF!="INSUMO",#REF!&lt;&gt;""),#REF!&lt;&gt;"")</formula>
    </cfRule>
  </conditionalFormatting>
  <conditionalFormatting sqref="D95 A95">
    <cfRule type="expression" dxfId="101" priority="151" stopIfTrue="1">
      <formula>AND(#REF!&lt;&gt;"COMPOSICAO",#REF!&lt;&gt;"INSUMO",#REF!&lt;&gt;"")</formula>
    </cfRule>
    <cfRule type="expression" dxfId="100" priority="152" stopIfTrue="1">
      <formula>AND(OR(#REF!="COMPOSICAO",#REF!="INSUMO",#REF!&lt;&gt;""),#REF!&lt;&gt;"")</formula>
    </cfRule>
  </conditionalFormatting>
  <conditionalFormatting sqref="E108">
    <cfRule type="expression" dxfId="99" priority="145" stopIfTrue="1">
      <formula>AND(#REF!&lt;&gt;"COMPOSICAO",#REF!&lt;&gt;"INSUMO",#REF!&lt;&gt;"")</formula>
    </cfRule>
    <cfRule type="expression" dxfId="98" priority="146" stopIfTrue="1">
      <formula>AND(OR(#REF!="COMPOSICAO",#REF!="INSUMO",#REF!&lt;&gt;""),#REF!&lt;&gt;"")</formula>
    </cfRule>
  </conditionalFormatting>
  <conditionalFormatting sqref="D108 A108">
    <cfRule type="expression" dxfId="97" priority="147" stopIfTrue="1">
      <formula>AND(#REF!&lt;&gt;"COMPOSICAO",#REF!&lt;&gt;"INSUMO",#REF!&lt;&gt;"")</formula>
    </cfRule>
    <cfRule type="expression" dxfId="96" priority="148" stopIfTrue="1">
      <formula>AND(OR(#REF!="COMPOSICAO",#REF!="INSUMO",#REF!&lt;&gt;""),#REF!&lt;&gt;"")</formula>
    </cfRule>
  </conditionalFormatting>
  <conditionalFormatting sqref="E151">
    <cfRule type="expression" dxfId="95" priority="97" stopIfTrue="1">
      <formula>AND(#REF!&lt;&gt;"COMPOSICAO",#REF!&lt;&gt;"INSUMO",#REF!&lt;&gt;"")</formula>
    </cfRule>
    <cfRule type="expression" dxfId="94" priority="98" stopIfTrue="1">
      <formula>AND(OR(#REF!="COMPOSICAO",#REF!="INSUMO",#REF!&lt;&gt;""),#REF!&lt;&gt;"")</formula>
    </cfRule>
  </conditionalFormatting>
  <conditionalFormatting sqref="D151 A151">
    <cfRule type="expression" dxfId="93" priority="99" stopIfTrue="1">
      <formula>AND(#REF!&lt;&gt;"COMPOSICAO",#REF!&lt;&gt;"INSUMO",#REF!&lt;&gt;"")</formula>
    </cfRule>
    <cfRule type="expression" dxfId="92" priority="100" stopIfTrue="1">
      <formula>AND(OR(#REF!="COMPOSICAO",#REF!="INSUMO",#REF!&lt;&gt;""),#REF!&lt;&gt;"")</formula>
    </cfRule>
  </conditionalFormatting>
  <conditionalFormatting sqref="E162">
    <cfRule type="expression" dxfId="91" priority="93" stopIfTrue="1">
      <formula>AND(#REF!&lt;&gt;"COMPOSICAO",#REF!&lt;&gt;"INSUMO",#REF!&lt;&gt;"")</formula>
    </cfRule>
    <cfRule type="expression" dxfId="90" priority="94" stopIfTrue="1">
      <formula>AND(OR(#REF!="COMPOSICAO",#REF!="INSUMO",#REF!&lt;&gt;""),#REF!&lt;&gt;"")</formula>
    </cfRule>
  </conditionalFormatting>
  <conditionalFormatting sqref="D162 A162">
    <cfRule type="expression" dxfId="89" priority="95" stopIfTrue="1">
      <formula>AND(#REF!&lt;&gt;"COMPOSICAO",#REF!&lt;&gt;"INSUMO",#REF!&lt;&gt;"")</formula>
    </cfRule>
    <cfRule type="expression" dxfId="88" priority="96" stopIfTrue="1">
      <formula>AND(OR(#REF!="COMPOSICAO",#REF!="INSUMO",#REF!&lt;&gt;""),#REF!&lt;&gt;"")</formula>
    </cfRule>
  </conditionalFormatting>
  <conditionalFormatting sqref="E173">
    <cfRule type="expression" dxfId="87" priority="89" stopIfTrue="1">
      <formula>AND(#REF!&lt;&gt;"COMPOSICAO",#REF!&lt;&gt;"INSUMO",#REF!&lt;&gt;"")</formula>
    </cfRule>
    <cfRule type="expression" dxfId="86" priority="90" stopIfTrue="1">
      <formula>AND(OR(#REF!="COMPOSICAO",#REF!="INSUMO",#REF!&lt;&gt;""),#REF!&lt;&gt;"")</formula>
    </cfRule>
  </conditionalFormatting>
  <conditionalFormatting sqref="D173 A173">
    <cfRule type="expression" dxfId="85" priority="91" stopIfTrue="1">
      <formula>AND(#REF!&lt;&gt;"COMPOSICAO",#REF!&lt;&gt;"INSUMO",#REF!&lt;&gt;"")</formula>
    </cfRule>
    <cfRule type="expression" dxfId="84" priority="92" stopIfTrue="1">
      <formula>AND(OR(#REF!="COMPOSICAO",#REF!="INSUMO",#REF!&lt;&gt;""),#REF!&lt;&gt;"")</formula>
    </cfRule>
  </conditionalFormatting>
  <conditionalFormatting sqref="E191">
    <cfRule type="expression" dxfId="83" priority="85" stopIfTrue="1">
      <formula>AND(#REF!&lt;&gt;"COMPOSICAO",#REF!&lt;&gt;"INSUMO",#REF!&lt;&gt;"")</formula>
    </cfRule>
    <cfRule type="expression" dxfId="82" priority="86" stopIfTrue="1">
      <formula>AND(OR(#REF!="COMPOSICAO",#REF!="INSUMO",#REF!&lt;&gt;""),#REF!&lt;&gt;"")</formula>
    </cfRule>
  </conditionalFormatting>
  <conditionalFormatting sqref="D191 A191">
    <cfRule type="expression" dxfId="81" priority="87" stopIfTrue="1">
      <formula>AND(#REF!&lt;&gt;"COMPOSICAO",#REF!&lt;&gt;"INSUMO",#REF!&lt;&gt;"")</formula>
    </cfRule>
    <cfRule type="expression" dxfId="80" priority="88" stopIfTrue="1">
      <formula>AND(OR(#REF!="COMPOSICAO",#REF!="INSUMO",#REF!&lt;&gt;""),#REF!&lt;&gt;"")</formula>
    </cfRule>
  </conditionalFormatting>
  <conditionalFormatting sqref="E214">
    <cfRule type="expression" dxfId="79" priority="81" stopIfTrue="1">
      <formula>AND(#REF!&lt;&gt;"COMPOSICAO",#REF!&lt;&gt;"INSUMO",#REF!&lt;&gt;"")</formula>
    </cfRule>
    <cfRule type="expression" dxfId="78" priority="82" stopIfTrue="1">
      <formula>AND(OR(#REF!="COMPOSICAO",#REF!="INSUMO",#REF!&lt;&gt;""),#REF!&lt;&gt;"")</formula>
    </cfRule>
  </conditionalFormatting>
  <conditionalFormatting sqref="D214 A214">
    <cfRule type="expression" dxfId="77" priority="83" stopIfTrue="1">
      <formula>AND(#REF!&lt;&gt;"COMPOSICAO",#REF!&lt;&gt;"INSUMO",#REF!&lt;&gt;"")</formula>
    </cfRule>
    <cfRule type="expression" dxfId="76" priority="84" stopIfTrue="1">
      <formula>AND(OR(#REF!="COMPOSICAO",#REF!="INSUMO",#REF!&lt;&gt;""),#REF!&lt;&gt;"")</formula>
    </cfRule>
  </conditionalFormatting>
  <conditionalFormatting sqref="E223">
    <cfRule type="expression" dxfId="75" priority="77" stopIfTrue="1">
      <formula>AND(#REF!&lt;&gt;"COMPOSICAO",#REF!&lt;&gt;"INSUMO",#REF!&lt;&gt;"")</formula>
    </cfRule>
    <cfRule type="expression" dxfId="74" priority="78" stopIfTrue="1">
      <formula>AND(OR(#REF!="COMPOSICAO",#REF!="INSUMO",#REF!&lt;&gt;""),#REF!&lt;&gt;"")</formula>
    </cfRule>
  </conditionalFormatting>
  <conditionalFormatting sqref="D223 A223">
    <cfRule type="expression" dxfId="73" priority="79" stopIfTrue="1">
      <formula>AND(#REF!&lt;&gt;"COMPOSICAO",#REF!&lt;&gt;"INSUMO",#REF!&lt;&gt;"")</formula>
    </cfRule>
    <cfRule type="expression" dxfId="72" priority="80" stopIfTrue="1">
      <formula>AND(OR(#REF!="COMPOSICAO",#REF!="INSUMO",#REF!&lt;&gt;""),#REF!&lt;&gt;"")</formula>
    </cfRule>
  </conditionalFormatting>
  <conditionalFormatting sqref="E232">
    <cfRule type="expression" dxfId="71" priority="73" stopIfTrue="1">
      <formula>AND(#REF!&lt;&gt;"COMPOSICAO",#REF!&lt;&gt;"INSUMO",#REF!&lt;&gt;"")</formula>
    </cfRule>
    <cfRule type="expression" dxfId="70" priority="74" stopIfTrue="1">
      <formula>AND(OR(#REF!="COMPOSICAO",#REF!="INSUMO",#REF!&lt;&gt;""),#REF!&lt;&gt;"")</formula>
    </cfRule>
  </conditionalFormatting>
  <conditionalFormatting sqref="D232 A232">
    <cfRule type="expression" dxfId="69" priority="75" stopIfTrue="1">
      <formula>AND(#REF!&lt;&gt;"COMPOSICAO",#REF!&lt;&gt;"INSUMO",#REF!&lt;&gt;"")</formula>
    </cfRule>
    <cfRule type="expression" dxfId="68" priority="76" stopIfTrue="1">
      <formula>AND(OR(#REF!="COMPOSICAO",#REF!="INSUMO",#REF!&lt;&gt;""),#REF!&lt;&gt;"")</formula>
    </cfRule>
  </conditionalFormatting>
  <conditionalFormatting sqref="E240">
    <cfRule type="expression" dxfId="67" priority="69" stopIfTrue="1">
      <formula>AND(#REF!&lt;&gt;"COMPOSICAO",#REF!&lt;&gt;"INSUMO",#REF!&lt;&gt;"")</formula>
    </cfRule>
    <cfRule type="expression" dxfId="66" priority="70" stopIfTrue="1">
      <formula>AND(OR(#REF!="COMPOSICAO",#REF!="INSUMO",#REF!&lt;&gt;""),#REF!&lt;&gt;"")</formula>
    </cfRule>
  </conditionalFormatting>
  <conditionalFormatting sqref="D240 A240">
    <cfRule type="expression" dxfId="65" priority="71" stopIfTrue="1">
      <formula>AND(#REF!&lt;&gt;"COMPOSICAO",#REF!&lt;&gt;"INSUMO",#REF!&lt;&gt;"")</formula>
    </cfRule>
    <cfRule type="expression" dxfId="64" priority="72" stopIfTrue="1">
      <formula>AND(OR(#REF!="COMPOSICAO",#REF!="INSUMO",#REF!&lt;&gt;""),#REF!&lt;&gt;"")</formula>
    </cfRule>
  </conditionalFormatting>
  <conditionalFormatting sqref="E249">
    <cfRule type="expression" dxfId="63" priority="65" stopIfTrue="1">
      <formula>AND(#REF!&lt;&gt;"COMPOSICAO",#REF!&lt;&gt;"INSUMO",#REF!&lt;&gt;"")</formula>
    </cfRule>
    <cfRule type="expression" dxfId="62" priority="66" stopIfTrue="1">
      <formula>AND(OR(#REF!="COMPOSICAO",#REF!="INSUMO",#REF!&lt;&gt;""),#REF!&lt;&gt;"")</formula>
    </cfRule>
  </conditionalFormatting>
  <conditionalFormatting sqref="D249 A249">
    <cfRule type="expression" dxfId="61" priority="67" stopIfTrue="1">
      <formula>AND(#REF!&lt;&gt;"COMPOSICAO",#REF!&lt;&gt;"INSUMO",#REF!&lt;&gt;"")</formula>
    </cfRule>
    <cfRule type="expression" dxfId="60" priority="68" stopIfTrue="1">
      <formula>AND(OR(#REF!="COMPOSICAO",#REF!="INSUMO",#REF!&lt;&gt;""),#REF!&lt;&gt;"")</formula>
    </cfRule>
  </conditionalFormatting>
  <conditionalFormatting sqref="E259">
    <cfRule type="expression" dxfId="59" priority="61" stopIfTrue="1">
      <formula>AND(#REF!&lt;&gt;"COMPOSICAO",#REF!&lt;&gt;"INSUMO",#REF!&lt;&gt;"")</formula>
    </cfRule>
    <cfRule type="expression" dxfId="58" priority="62" stopIfTrue="1">
      <formula>AND(OR(#REF!="COMPOSICAO",#REF!="INSUMO",#REF!&lt;&gt;""),#REF!&lt;&gt;"")</formula>
    </cfRule>
  </conditionalFormatting>
  <conditionalFormatting sqref="D259 A259">
    <cfRule type="expression" dxfId="57" priority="63" stopIfTrue="1">
      <formula>AND(#REF!&lt;&gt;"COMPOSICAO",#REF!&lt;&gt;"INSUMO",#REF!&lt;&gt;"")</formula>
    </cfRule>
    <cfRule type="expression" dxfId="56" priority="64" stopIfTrue="1">
      <formula>AND(OR(#REF!="COMPOSICAO",#REF!="INSUMO",#REF!&lt;&gt;""),#REF!&lt;&gt;"")</formula>
    </cfRule>
  </conditionalFormatting>
  <conditionalFormatting sqref="E273">
    <cfRule type="expression" dxfId="55" priority="57" stopIfTrue="1">
      <formula>AND(#REF!&lt;&gt;"COMPOSICAO",#REF!&lt;&gt;"INSUMO",#REF!&lt;&gt;"")</formula>
    </cfRule>
    <cfRule type="expression" dxfId="54" priority="58" stopIfTrue="1">
      <formula>AND(OR(#REF!="COMPOSICAO",#REF!="INSUMO",#REF!&lt;&gt;""),#REF!&lt;&gt;"")</formula>
    </cfRule>
  </conditionalFormatting>
  <conditionalFormatting sqref="D273 A273">
    <cfRule type="expression" dxfId="53" priority="59" stopIfTrue="1">
      <formula>AND(#REF!&lt;&gt;"COMPOSICAO",#REF!&lt;&gt;"INSUMO",#REF!&lt;&gt;"")</formula>
    </cfRule>
    <cfRule type="expression" dxfId="52" priority="60" stopIfTrue="1">
      <formula>AND(OR(#REF!="COMPOSICAO",#REF!="INSUMO",#REF!&lt;&gt;""),#REF!&lt;&gt;"")</formula>
    </cfRule>
  </conditionalFormatting>
  <conditionalFormatting sqref="E291">
    <cfRule type="expression" dxfId="51" priority="53" stopIfTrue="1">
      <formula>AND(#REF!&lt;&gt;"COMPOSICAO",#REF!&lt;&gt;"INSUMO",#REF!&lt;&gt;"")</formula>
    </cfRule>
    <cfRule type="expression" dxfId="50" priority="54" stopIfTrue="1">
      <formula>AND(OR(#REF!="COMPOSICAO",#REF!="INSUMO",#REF!&lt;&gt;""),#REF!&lt;&gt;"")</formula>
    </cfRule>
  </conditionalFormatting>
  <conditionalFormatting sqref="D291 A291">
    <cfRule type="expression" dxfId="49" priority="55" stopIfTrue="1">
      <formula>AND(#REF!&lt;&gt;"COMPOSICAO",#REF!&lt;&gt;"INSUMO",#REF!&lt;&gt;"")</formula>
    </cfRule>
    <cfRule type="expression" dxfId="48" priority="56" stopIfTrue="1">
      <formula>AND(OR(#REF!="COMPOSICAO",#REF!="INSUMO",#REF!&lt;&gt;""),#REF!&lt;&gt;"")</formula>
    </cfRule>
  </conditionalFormatting>
  <conditionalFormatting sqref="E311">
    <cfRule type="expression" dxfId="47" priority="49" stopIfTrue="1">
      <formula>AND(#REF!&lt;&gt;"COMPOSICAO",#REF!&lt;&gt;"INSUMO",#REF!&lt;&gt;"")</formula>
    </cfRule>
    <cfRule type="expression" dxfId="46" priority="50" stopIfTrue="1">
      <formula>AND(OR(#REF!="COMPOSICAO",#REF!="INSUMO",#REF!&lt;&gt;""),#REF!&lt;&gt;"")</formula>
    </cfRule>
  </conditionalFormatting>
  <conditionalFormatting sqref="D311 A311">
    <cfRule type="expression" dxfId="45" priority="51" stopIfTrue="1">
      <formula>AND(#REF!&lt;&gt;"COMPOSICAO",#REF!&lt;&gt;"INSUMO",#REF!&lt;&gt;"")</formula>
    </cfRule>
    <cfRule type="expression" dxfId="44" priority="52" stopIfTrue="1">
      <formula>AND(OR(#REF!="COMPOSICAO",#REF!="INSUMO",#REF!&lt;&gt;""),#REF!&lt;&gt;"")</formula>
    </cfRule>
  </conditionalFormatting>
  <conditionalFormatting sqref="E319">
    <cfRule type="expression" dxfId="43" priority="45" stopIfTrue="1">
      <formula>AND(#REF!&lt;&gt;"COMPOSICAO",#REF!&lt;&gt;"INSUMO",#REF!&lt;&gt;"")</formula>
    </cfRule>
    <cfRule type="expression" dxfId="42" priority="46" stopIfTrue="1">
      <formula>AND(OR(#REF!="COMPOSICAO",#REF!="INSUMO",#REF!&lt;&gt;""),#REF!&lt;&gt;"")</formula>
    </cfRule>
  </conditionalFormatting>
  <conditionalFormatting sqref="D319 A319">
    <cfRule type="expression" dxfId="41" priority="47" stopIfTrue="1">
      <formula>AND(#REF!&lt;&gt;"COMPOSICAO",#REF!&lt;&gt;"INSUMO",#REF!&lt;&gt;"")</formula>
    </cfRule>
    <cfRule type="expression" dxfId="40" priority="48" stopIfTrue="1">
      <formula>AND(OR(#REF!="COMPOSICAO",#REF!="INSUMO",#REF!&lt;&gt;""),#REF!&lt;&gt;"")</formula>
    </cfRule>
  </conditionalFormatting>
  <conditionalFormatting sqref="E329">
    <cfRule type="expression" dxfId="39" priority="41" stopIfTrue="1">
      <formula>AND(#REF!&lt;&gt;"COMPOSICAO",#REF!&lt;&gt;"INSUMO",#REF!&lt;&gt;"")</formula>
    </cfRule>
    <cfRule type="expression" dxfId="38" priority="42" stopIfTrue="1">
      <formula>AND(OR(#REF!="COMPOSICAO",#REF!="INSUMO",#REF!&lt;&gt;""),#REF!&lt;&gt;"")</formula>
    </cfRule>
  </conditionalFormatting>
  <conditionalFormatting sqref="D329 A329">
    <cfRule type="expression" dxfId="37" priority="43" stopIfTrue="1">
      <formula>AND(#REF!&lt;&gt;"COMPOSICAO",#REF!&lt;&gt;"INSUMO",#REF!&lt;&gt;"")</formula>
    </cfRule>
    <cfRule type="expression" dxfId="36" priority="44" stopIfTrue="1">
      <formula>AND(OR(#REF!="COMPOSICAO",#REF!="INSUMO",#REF!&lt;&gt;""),#REF!&lt;&gt;"")</formula>
    </cfRule>
  </conditionalFormatting>
  <conditionalFormatting sqref="E75">
    <cfRule type="expression" dxfId="35" priority="37" stopIfTrue="1">
      <formula>AND(#REF!&lt;&gt;"COMPOSICAO",#REF!&lt;&gt;"INSUMO",#REF!&lt;&gt;"")</formula>
    </cfRule>
    <cfRule type="expression" dxfId="34" priority="38" stopIfTrue="1">
      <formula>AND(OR(#REF!="COMPOSICAO",#REF!="INSUMO",#REF!&lt;&gt;""),#REF!&lt;&gt;"")</formula>
    </cfRule>
  </conditionalFormatting>
  <conditionalFormatting sqref="D75 A75">
    <cfRule type="expression" dxfId="33" priority="39" stopIfTrue="1">
      <formula>AND(#REF!&lt;&gt;"COMPOSICAO",#REF!&lt;&gt;"INSUMO",#REF!&lt;&gt;"")</formula>
    </cfRule>
    <cfRule type="expression" dxfId="32" priority="40" stopIfTrue="1">
      <formula>AND(OR(#REF!="COMPOSICAO",#REF!="INSUMO",#REF!&lt;&gt;""),#REF!&lt;&gt;"")</formula>
    </cfRule>
  </conditionalFormatting>
  <conditionalFormatting sqref="E121">
    <cfRule type="expression" dxfId="31" priority="29" stopIfTrue="1">
      <formula>AND(#REF!&lt;&gt;"COMPOSICAO",#REF!&lt;&gt;"INSUMO",#REF!&lt;&gt;"")</formula>
    </cfRule>
    <cfRule type="expression" dxfId="30" priority="30" stopIfTrue="1">
      <formula>AND(OR(#REF!="COMPOSICAO",#REF!="INSUMO",#REF!&lt;&gt;""),#REF!&lt;&gt;"")</formula>
    </cfRule>
  </conditionalFormatting>
  <conditionalFormatting sqref="D121 A121">
    <cfRule type="expression" dxfId="29" priority="31" stopIfTrue="1">
      <formula>AND(#REF!&lt;&gt;"COMPOSICAO",#REF!&lt;&gt;"INSUMO",#REF!&lt;&gt;"")</formula>
    </cfRule>
    <cfRule type="expression" dxfId="28" priority="32" stopIfTrue="1">
      <formula>AND(OR(#REF!="COMPOSICAO",#REF!="INSUMO",#REF!&lt;&gt;""),#REF!&lt;&gt;"")</formula>
    </cfRule>
  </conditionalFormatting>
  <conditionalFormatting sqref="E127">
    <cfRule type="expression" dxfId="27" priority="25" stopIfTrue="1">
      <formula>AND(#REF!&lt;&gt;"COMPOSICAO",#REF!&lt;&gt;"INSUMO",#REF!&lt;&gt;"")</formula>
    </cfRule>
    <cfRule type="expression" dxfId="26" priority="26" stopIfTrue="1">
      <formula>AND(OR(#REF!="COMPOSICAO",#REF!="INSUMO",#REF!&lt;&gt;""),#REF!&lt;&gt;"")</formula>
    </cfRule>
  </conditionalFormatting>
  <conditionalFormatting sqref="D127 A127">
    <cfRule type="expression" dxfId="25" priority="27" stopIfTrue="1">
      <formula>AND(#REF!&lt;&gt;"COMPOSICAO",#REF!&lt;&gt;"INSUMO",#REF!&lt;&gt;"")</formula>
    </cfRule>
    <cfRule type="expression" dxfId="24" priority="28" stopIfTrue="1">
      <formula>AND(OR(#REF!="COMPOSICAO",#REF!="INSUMO",#REF!&lt;&gt;""),#REF!&lt;&gt;"")</formula>
    </cfRule>
  </conditionalFormatting>
  <conditionalFormatting sqref="E133">
    <cfRule type="expression" dxfId="23" priority="21" stopIfTrue="1">
      <formula>AND(#REF!&lt;&gt;"COMPOSICAO",#REF!&lt;&gt;"INSUMO",#REF!&lt;&gt;"")</formula>
    </cfRule>
    <cfRule type="expression" dxfId="22" priority="22" stopIfTrue="1">
      <formula>AND(OR(#REF!="COMPOSICAO",#REF!="INSUMO",#REF!&lt;&gt;""),#REF!&lt;&gt;"")</formula>
    </cfRule>
  </conditionalFormatting>
  <conditionalFormatting sqref="D133 A133">
    <cfRule type="expression" dxfId="21" priority="23" stopIfTrue="1">
      <formula>AND(#REF!&lt;&gt;"COMPOSICAO",#REF!&lt;&gt;"INSUMO",#REF!&lt;&gt;"")</formula>
    </cfRule>
    <cfRule type="expression" dxfId="20" priority="24" stopIfTrue="1">
      <formula>AND(OR(#REF!="COMPOSICAO",#REF!="INSUMO",#REF!&lt;&gt;""),#REF!&lt;&gt;"")</formula>
    </cfRule>
  </conditionalFormatting>
  <conditionalFormatting sqref="E139">
    <cfRule type="expression" dxfId="19" priority="17" stopIfTrue="1">
      <formula>AND(#REF!&lt;&gt;"COMPOSICAO",#REF!&lt;&gt;"INSUMO",#REF!&lt;&gt;"")</formula>
    </cfRule>
    <cfRule type="expression" dxfId="18" priority="18" stopIfTrue="1">
      <formula>AND(OR(#REF!="COMPOSICAO",#REF!="INSUMO",#REF!&lt;&gt;""),#REF!&lt;&gt;"")</formula>
    </cfRule>
  </conditionalFormatting>
  <conditionalFormatting sqref="D139 A139">
    <cfRule type="expression" dxfId="17" priority="19" stopIfTrue="1">
      <formula>AND(#REF!&lt;&gt;"COMPOSICAO",#REF!&lt;&gt;"INSUMO",#REF!&lt;&gt;"")</formula>
    </cfRule>
    <cfRule type="expression" dxfId="16" priority="20" stopIfTrue="1">
      <formula>AND(OR(#REF!="COMPOSICAO",#REF!="INSUMO",#REF!&lt;&gt;""),#REF!&lt;&gt;"")</formula>
    </cfRule>
  </conditionalFormatting>
  <conditionalFormatting sqref="E145">
    <cfRule type="expression" dxfId="15" priority="13" stopIfTrue="1">
      <formula>AND(#REF!&lt;&gt;"COMPOSICAO",#REF!&lt;&gt;"INSUMO",#REF!&lt;&gt;"")</formula>
    </cfRule>
    <cfRule type="expression" dxfId="14" priority="14" stopIfTrue="1">
      <formula>AND(OR(#REF!="COMPOSICAO",#REF!="INSUMO",#REF!&lt;&gt;""),#REF!&lt;&gt;"")</formula>
    </cfRule>
  </conditionalFormatting>
  <conditionalFormatting sqref="D145 A145">
    <cfRule type="expression" dxfId="13" priority="15" stopIfTrue="1">
      <formula>AND(#REF!&lt;&gt;"COMPOSICAO",#REF!&lt;&gt;"INSUMO",#REF!&lt;&gt;"")</formula>
    </cfRule>
    <cfRule type="expression" dxfId="12" priority="16" stopIfTrue="1">
      <formula>AND(OR(#REF!="COMPOSICAO",#REF!="INSUMO",#REF!&lt;&gt;""),#REF!&lt;&gt;"")</formula>
    </cfRule>
  </conditionalFormatting>
  <conditionalFormatting sqref="E285">
    <cfRule type="expression" dxfId="11" priority="9" stopIfTrue="1">
      <formula>AND(#REF!&lt;&gt;"COMPOSICAO",#REF!&lt;&gt;"INSUMO",#REF!&lt;&gt;"")</formula>
    </cfRule>
    <cfRule type="expression" dxfId="10" priority="10" stopIfTrue="1">
      <formula>AND(OR(#REF!="COMPOSICAO",#REF!="INSUMO",#REF!&lt;&gt;""),#REF!&lt;&gt;"")</formula>
    </cfRule>
  </conditionalFormatting>
  <conditionalFormatting sqref="D285 A285">
    <cfRule type="expression" dxfId="9" priority="11" stopIfTrue="1">
      <formula>AND(#REF!&lt;&gt;"COMPOSICAO",#REF!&lt;&gt;"INSUMO",#REF!&lt;&gt;"")</formula>
    </cfRule>
    <cfRule type="expression" dxfId="8" priority="12" stopIfTrue="1">
      <formula>AND(OR(#REF!="COMPOSICAO",#REF!="INSUMO",#REF!&lt;&gt;""),#REF!&lt;&gt;"")</formula>
    </cfRule>
  </conditionalFormatting>
  <conditionalFormatting sqref="E61">
    <cfRule type="expression" dxfId="7" priority="5" stopIfTrue="1">
      <formula>AND(#REF!&lt;&gt;"COMPOSICAO",#REF!&lt;&gt;"INSUMO",#REF!&lt;&gt;"")</formula>
    </cfRule>
    <cfRule type="expression" dxfId="6" priority="6" stopIfTrue="1">
      <formula>AND(OR(#REF!="COMPOSICAO",#REF!="INSUMO",#REF!&lt;&gt;""),#REF!&lt;&gt;"")</formula>
    </cfRule>
  </conditionalFormatting>
  <conditionalFormatting sqref="D61 A61">
    <cfRule type="expression" dxfId="5" priority="7" stopIfTrue="1">
      <formula>AND(#REF!&lt;&gt;"COMPOSICAO",#REF!&lt;&gt;"INSUMO",#REF!&lt;&gt;"")</formula>
    </cfRule>
    <cfRule type="expression" dxfId="4" priority="8" stopIfTrue="1">
      <formula>AND(OR(#REF!="COMPOSICAO",#REF!="INSUMO",#REF!&lt;&gt;""),#REF!&lt;&gt;"")</formula>
    </cfRule>
  </conditionalFormatting>
  <conditionalFormatting sqref="E355">
    <cfRule type="expression" dxfId="3" priority="1" stopIfTrue="1">
      <formula>AND(#REF!&lt;&gt;"COMPOSICAO",#REF!&lt;&gt;"INSUMO",#REF!&lt;&gt;"")</formula>
    </cfRule>
    <cfRule type="expression" dxfId="2" priority="2" stopIfTrue="1">
      <formula>AND(OR(#REF!="COMPOSICAO",#REF!="INSUMO",#REF!&lt;&gt;""),#REF!&lt;&gt;"")</formula>
    </cfRule>
  </conditionalFormatting>
  <conditionalFormatting sqref="D355 A355">
    <cfRule type="expression" dxfId="1" priority="3" stopIfTrue="1">
      <formula>AND(#REF!&lt;&gt;"COMPOSICAO",#REF!&lt;&gt;"INSUMO",#REF!&lt;&gt;"")</formula>
    </cfRule>
    <cfRule type="expression" dxfId="0" priority="4" stopIfTrue="1">
      <formula>AND(OR(#REF!="COMPOSICAO",#REF!="INSUMO",#REF!&lt;&gt;""),#REF!&lt;&gt;"")</formula>
    </cfRule>
  </conditionalFormatting>
  <pageMargins left="0.78740157480314965" right="0.51181102362204722" top="0.39370078740157483" bottom="0.47244094488188981" header="0.31496062992125984" footer="0.31496062992125984"/>
  <pageSetup paperSize="9" scale="53" orientation="portrait" r:id="rId1"/>
  <rowBreaks count="9" manualBreakCount="9">
    <brk id="48" max="7" man="1"/>
    <brk id="83" max="7" man="1"/>
    <brk id="111" max="7" man="1"/>
    <brk id="148" max="7" man="1"/>
    <brk id="181" max="7" man="1"/>
    <brk id="211" max="7" man="1"/>
    <brk id="252" max="7" man="1"/>
    <brk id="282" max="7" man="1"/>
    <brk id="313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P189"/>
  <sheetViews>
    <sheetView view="pageBreakPreview" topLeftCell="A7" zoomScaleNormal="100" zoomScaleSheetLayoutView="100" workbookViewId="0">
      <selection activeCell="O11" sqref="O11"/>
    </sheetView>
  </sheetViews>
  <sheetFormatPr defaultColWidth="9.140625" defaultRowHeight="14.25" x14ac:dyDescent="0.2"/>
  <cols>
    <col min="1" max="3" width="9.42578125" style="57" bestFit="1" customWidth="1"/>
    <col min="4" max="4" width="9.7109375" style="57" bestFit="1" customWidth="1"/>
    <col min="5" max="6" width="9.42578125" style="57" bestFit="1" customWidth="1"/>
    <col min="7" max="7" width="9.140625" style="57"/>
    <col min="8" max="8" width="9.42578125" style="57" customWidth="1"/>
    <col min="9" max="9" width="9.42578125" style="57" bestFit="1" customWidth="1"/>
    <col min="10" max="12" width="9.140625" style="57"/>
    <col min="13" max="13" width="11.5703125" style="57" customWidth="1"/>
    <col min="14" max="14" width="18" style="57" bestFit="1" customWidth="1"/>
    <col min="15" max="16384" width="9.140625" style="57"/>
  </cols>
  <sheetData>
    <row r="1" spans="1:16" customFormat="1" ht="81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</row>
    <row r="2" spans="1:16" customFormat="1" ht="21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</row>
    <row r="3" spans="1:16" customFormat="1" ht="1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</row>
    <row r="4" spans="1:16" ht="26.25" customHeight="1" x14ac:dyDescent="0.2">
      <c r="A4" s="969" t="s">
        <v>33</v>
      </c>
      <c r="B4" s="970"/>
      <c r="C4" s="977" t="str">
        <f>COMPOSIÇÕES!B4</f>
        <v>PREFEITURA MUNICIPAL DE BRASIL NOVO/PA</v>
      </c>
      <c r="D4" s="977"/>
      <c r="E4" s="977"/>
      <c r="F4" s="977"/>
      <c r="G4" s="977"/>
      <c r="H4" s="977"/>
      <c r="I4" s="978"/>
      <c r="J4" s="1128" t="s">
        <v>859</v>
      </c>
      <c r="K4" s="1129"/>
      <c r="L4" s="1126" t="str">
        <f>ORÇAMENTO!J4</f>
        <v>BRASIL NOVO/PA</v>
      </c>
      <c r="M4" s="1127"/>
    </row>
    <row r="5" spans="1:16" ht="19.5" customHeight="1" x14ac:dyDescent="0.2">
      <c r="A5" s="969" t="s">
        <v>860</v>
      </c>
      <c r="B5" s="970"/>
      <c r="C5" s="1109" t="str">
        <f>COMPOSIÇÕES!B5</f>
        <v>CONSTRUÇÃO DE PRAÇA NO MUNICÍPIO DE BRASIL NOVO - PARÁ</v>
      </c>
      <c r="D5" s="1110"/>
      <c r="E5" s="1110"/>
      <c r="F5" s="1110"/>
      <c r="G5" s="1110"/>
      <c r="H5" s="1110"/>
      <c r="I5" s="1110"/>
      <c r="J5" s="1110"/>
      <c r="K5" s="1110"/>
      <c r="L5" s="1110"/>
      <c r="M5" s="1134"/>
    </row>
    <row r="6" spans="1:16" ht="15" x14ac:dyDescent="0.2">
      <c r="A6" s="969" t="s">
        <v>861</v>
      </c>
      <c r="B6" s="970"/>
      <c r="C6" s="1131" t="str">
        <f>ORÇAMENTO!B6</f>
        <v>AVENIDA TRANSAMAZÔNICA S/N, BRASIL NOVO/PA</v>
      </c>
      <c r="D6" s="1132"/>
      <c r="E6" s="1132"/>
      <c r="F6" s="1132"/>
      <c r="G6" s="1132"/>
      <c r="H6" s="1132"/>
      <c r="I6" s="1132"/>
      <c r="J6" s="1132"/>
      <c r="K6" s="1132"/>
      <c r="L6" s="1132"/>
      <c r="M6" s="1133"/>
    </row>
    <row r="7" spans="1:16" ht="15.75" customHeight="1" x14ac:dyDescent="0.2">
      <c r="A7" s="980" t="s">
        <v>80</v>
      </c>
      <c r="B7" s="981"/>
      <c r="C7" s="964">
        <f>ORÇAMENTO!B7</f>
        <v>0.29769428939090381</v>
      </c>
      <c r="D7" s="964"/>
      <c r="E7" s="964"/>
      <c r="F7" s="964"/>
      <c r="G7" s="1150" t="s">
        <v>34</v>
      </c>
      <c r="H7" s="1151"/>
      <c r="I7" s="1113" t="str">
        <f>ORÇAMENTO!H7</f>
        <v>SINAPI FEVEREIRO 2022 - DESONERADA</v>
      </c>
      <c r="J7" s="1113"/>
      <c r="K7" s="1113"/>
      <c r="L7" s="1113"/>
      <c r="M7" s="1113"/>
      <c r="N7" s="427"/>
    </row>
    <row r="8" spans="1:16" ht="15" customHeight="1" x14ac:dyDescent="0.2">
      <c r="A8" s="969" t="s">
        <v>863</v>
      </c>
      <c r="B8" s="970"/>
      <c r="C8" s="1143" t="str">
        <f>ORÇAMENTO!B8</f>
        <v>06 meses</v>
      </c>
      <c r="D8" s="1144"/>
      <c r="E8" s="1144"/>
      <c r="F8" s="1145"/>
      <c r="G8" s="1118"/>
      <c r="H8" s="1119"/>
      <c r="I8" s="1147" t="str">
        <f>ORÇAMENTO!H8</f>
        <v>SEDOP FEVEREIRO 2022 - DESONERADA</v>
      </c>
      <c r="J8" s="1148"/>
      <c r="K8" s="1148"/>
      <c r="L8" s="1148"/>
      <c r="M8" s="1149"/>
      <c r="N8" s="136"/>
      <c r="O8" s="136"/>
      <c r="P8" s="136"/>
    </row>
    <row r="9" spans="1:16" ht="15" x14ac:dyDescent="0.2">
      <c r="A9" s="969" t="s">
        <v>865</v>
      </c>
      <c r="B9" s="970"/>
      <c r="C9" s="1124">
        <f>ORÇAMENTO!B9</f>
        <v>1202969.1098858207</v>
      </c>
      <c r="D9" s="1146"/>
      <c r="E9" s="1146"/>
      <c r="F9" s="1125"/>
      <c r="G9" s="1103" t="s">
        <v>864</v>
      </c>
      <c r="H9" s="1104"/>
      <c r="I9" s="963">
        <f>ORÇAMENTO!H9</f>
        <v>44749</v>
      </c>
      <c r="J9" s="963"/>
      <c r="K9" s="963"/>
      <c r="L9" s="963"/>
      <c r="M9" s="963"/>
      <c r="N9" s="136"/>
      <c r="O9" s="136"/>
      <c r="P9" s="136"/>
    </row>
    <row r="10" spans="1:16" ht="13.5" customHeight="1" thickBot="1" x14ac:dyDescent="0.25">
      <c r="A10" s="1138"/>
      <c r="B10" s="1139"/>
      <c r="C10" s="1139"/>
      <c r="D10" s="1139"/>
      <c r="E10" s="1139"/>
      <c r="F10" s="1139"/>
      <c r="G10" s="1139"/>
      <c r="H10" s="1139"/>
      <c r="I10" s="1139"/>
      <c r="J10" s="1139"/>
      <c r="K10" s="1139"/>
      <c r="L10" s="1139"/>
      <c r="M10" s="1139"/>
      <c r="N10" s="136"/>
      <c r="O10" s="136"/>
      <c r="P10" s="136"/>
    </row>
    <row r="11" spans="1:16" ht="15.75" customHeight="1" thickBot="1" x14ac:dyDescent="0.25">
      <c r="A11" s="1140" t="s">
        <v>866</v>
      </c>
      <c r="B11" s="1141"/>
      <c r="C11" s="1141"/>
      <c r="D11" s="1141"/>
      <c r="E11" s="1141"/>
      <c r="F11" s="1141"/>
      <c r="G11" s="1141"/>
      <c r="H11" s="1141"/>
      <c r="I11" s="1141"/>
      <c r="J11" s="1141"/>
      <c r="K11" s="1141"/>
      <c r="L11" s="1141"/>
      <c r="M11" s="1142"/>
      <c r="N11" s="136"/>
      <c r="O11" s="136"/>
      <c r="P11" s="136"/>
    </row>
    <row r="12" spans="1:16" ht="9" customHeight="1" thickBot="1" x14ac:dyDescent="0.25">
      <c r="A12" s="463"/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5"/>
      <c r="N12" s="136"/>
      <c r="O12" s="136"/>
      <c r="P12" s="136"/>
    </row>
    <row r="13" spans="1:16" ht="15" customHeight="1" thickBot="1" x14ac:dyDescent="0.25">
      <c r="A13" s="1135" t="str">
        <f>ORÇAMENTO!D14</f>
        <v>ADMINISTRAÇÃO DE OBRA</v>
      </c>
      <c r="B13" s="1136"/>
      <c r="C13" s="1136"/>
      <c r="D13" s="1136"/>
      <c r="E13" s="1136"/>
      <c r="F13" s="1136"/>
      <c r="G13" s="1136"/>
      <c r="H13" s="1136"/>
      <c r="I13" s="1136"/>
      <c r="J13" s="1136"/>
      <c r="K13" s="1136"/>
      <c r="L13" s="1136"/>
      <c r="M13" s="1137"/>
      <c r="N13" s="136"/>
      <c r="O13" s="136"/>
      <c r="P13" s="136"/>
    </row>
    <row r="14" spans="1:16" ht="15" x14ac:dyDescent="0.2">
      <c r="A14" s="154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37"/>
      <c r="N14" s="137"/>
      <c r="O14" s="137"/>
      <c r="P14" s="137"/>
    </row>
    <row r="15" spans="1:16" ht="15" x14ac:dyDescent="0.2">
      <c r="A15" s="165">
        <f>ORÇAMENTO!A14</f>
        <v>1</v>
      </c>
      <c r="B15" s="469" t="str">
        <f>ORÇAMENTO!D14</f>
        <v>ADMINISTRAÇÃO DE OBRA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37"/>
      <c r="O15" s="137"/>
      <c r="P15" s="137"/>
    </row>
    <row r="16" spans="1:16" ht="15" x14ac:dyDescent="0.2">
      <c r="A16" s="165"/>
      <c r="B16" s="469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37"/>
      <c r="O16" s="137"/>
      <c r="P16" s="137"/>
    </row>
    <row r="17" spans="1:16" ht="33" customHeight="1" x14ac:dyDescent="0.2">
      <c r="A17" s="614" t="str">
        <f>ORÇAMENTO!A15</f>
        <v>1.1</v>
      </c>
      <c r="B17" s="1130" t="str">
        <f>ORÇAMENTO!D15</f>
        <v>ADMINISTRAÇÃO LOCAL DE OBRA, INCLUSO ENGENHEIRO CIVIL E ENCARREGADO GERAL COM ENCARGOS COMPLEMENTARES</v>
      </c>
      <c r="C17" s="1130"/>
      <c r="D17" s="1130"/>
      <c r="E17" s="1130"/>
      <c r="F17" s="1130"/>
      <c r="G17" s="1130"/>
      <c r="H17" s="1130"/>
      <c r="I17" s="1130"/>
      <c r="J17" s="1130"/>
      <c r="K17" s="1130"/>
      <c r="L17" s="1130"/>
      <c r="M17" s="1130"/>
      <c r="N17" s="137"/>
      <c r="O17" s="137"/>
      <c r="P17" s="137"/>
    </row>
    <row r="18" spans="1:16" s="138" customFormat="1" ht="15" x14ac:dyDescent="0.2">
      <c r="A18" s="296"/>
      <c r="B18" s="296"/>
      <c r="C18" s="296"/>
      <c r="D18" s="296"/>
      <c r="E18" s="296"/>
      <c r="F18" s="296"/>
      <c r="G18" s="296"/>
      <c r="H18" s="296"/>
      <c r="I18" s="296"/>
      <c r="J18" s="296"/>
      <c r="K18" s="296"/>
      <c r="L18" s="286"/>
      <c r="M18" s="286"/>
      <c r="N18" s="139">
        <f>ORÇAMENTO!J191</f>
        <v>1540268.53</v>
      </c>
    </row>
    <row r="19" spans="1:16" s="140" customFormat="1" ht="15" x14ac:dyDescent="0.25">
      <c r="A19" s="470" t="s">
        <v>257</v>
      </c>
      <c r="B19" s="471"/>
      <c r="C19" s="471"/>
      <c r="D19" s="471"/>
      <c r="E19" s="471"/>
      <c r="F19" s="471"/>
      <c r="G19" s="471"/>
      <c r="H19" s="471"/>
      <c r="I19" s="471"/>
      <c r="J19" s="471"/>
      <c r="K19" s="471"/>
      <c r="L19" s="471"/>
      <c r="M19" s="471"/>
      <c r="N19" s="141">
        <f>ORÇAMENTO!J14</f>
        <v>23767.751057081477</v>
      </c>
    </row>
    <row r="20" spans="1:16" s="140" customFormat="1" ht="15" x14ac:dyDescent="0.25">
      <c r="A20" s="470"/>
      <c r="B20" s="472" t="s">
        <v>258</v>
      </c>
      <c r="C20" s="472"/>
      <c r="D20" s="472" t="s">
        <v>259</v>
      </c>
      <c r="E20" s="472"/>
      <c r="F20" s="472" t="s">
        <v>260</v>
      </c>
      <c r="G20" s="472"/>
      <c r="H20" s="472" t="s">
        <v>261</v>
      </c>
      <c r="I20" s="471"/>
      <c r="J20" s="471"/>
      <c r="K20" s="471"/>
      <c r="L20" s="471"/>
      <c r="M20" s="471"/>
      <c r="N20" s="142">
        <f>N19/N18</f>
        <v>1.5430913892061067E-2</v>
      </c>
    </row>
    <row r="21" spans="1:16" s="140" customFormat="1" ht="15" x14ac:dyDescent="0.25">
      <c r="A21" s="470"/>
      <c r="B21" s="191">
        <v>0.5</v>
      </c>
      <c r="C21" s="191" t="s">
        <v>22</v>
      </c>
      <c r="D21" s="473">
        <v>17</v>
      </c>
      <c r="E21" s="191" t="s">
        <v>22</v>
      </c>
      <c r="F21" s="473">
        <v>6</v>
      </c>
      <c r="G21" s="191" t="s">
        <v>23</v>
      </c>
      <c r="H21" s="193">
        <f>ROUND(B21*D21*F21,2)</f>
        <v>51</v>
      </c>
      <c r="I21" s="471"/>
      <c r="J21" s="471"/>
      <c r="K21" s="471"/>
      <c r="L21" s="471"/>
      <c r="M21" s="474"/>
    </row>
    <row r="22" spans="1:16" s="140" customFormat="1" ht="15" x14ac:dyDescent="0.25">
      <c r="A22" s="470" t="s">
        <v>262</v>
      </c>
      <c r="B22" s="471"/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</row>
    <row r="23" spans="1:16" s="140" customFormat="1" ht="15" x14ac:dyDescent="0.25">
      <c r="A23" s="470"/>
      <c r="B23" s="472" t="s">
        <v>258</v>
      </c>
      <c r="C23" s="472"/>
      <c r="D23" s="472" t="s">
        <v>259</v>
      </c>
      <c r="E23" s="472"/>
      <c r="F23" s="472" t="s">
        <v>260</v>
      </c>
      <c r="G23" s="472"/>
      <c r="H23" s="472" t="s">
        <v>261</v>
      </c>
      <c r="I23" s="471"/>
      <c r="J23" s="471"/>
      <c r="K23" s="471"/>
      <c r="L23" s="471"/>
      <c r="M23" s="471"/>
    </row>
    <row r="24" spans="1:16" s="140" customFormat="1" ht="15" x14ac:dyDescent="0.25">
      <c r="A24" s="470"/>
      <c r="B24" s="191">
        <v>8</v>
      </c>
      <c r="C24" s="191" t="s">
        <v>22</v>
      </c>
      <c r="D24" s="473">
        <v>22</v>
      </c>
      <c r="E24" s="191" t="s">
        <v>22</v>
      </c>
      <c r="F24" s="473">
        <v>6</v>
      </c>
      <c r="G24" s="191" t="s">
        <v>23</v>
      </c>
      <c r="H24" s="193">
        <f>ROUND(B24*D24*F24,2)</f>
        <v>1056</v>
      </c>
      <c r="I24" s="471"/>
      <c r="J24" s="471"/>
      <c r="K24" s="471"/>
      <c r="L24" s="471"/>
      <c r="M24" s="471"/>
    </row>
    <row r="25" spans="1:16" s="140" customFormat="1" x14ac:dyDescent="0.2">
      <c r="A25" s="471"/>
      <c r="B25" s="191"/>
      <c r="C25" s="191"/>
      <c r="D25" s="191"/>
      <c r="E25" s="191"/>
      <c r="F25" s="191"/>
      <c r="G25" s="191"/>
      <c r="H25" s="191"/>
      <c r="I25" s="191"/>
      <c r="J25" s="191"/>
      <c r="K25" s="471"/>
      <c r="L25" s="471"/>
      <c r="M25" s="471"/>
    </row>
    <row r="26" spans="1:16" s="140" customFormat="1" ht="15" x14ac:dyDescent="0.25">
      <c r="B26" s="143" t="s">
        <v>263</v>
      </c>
      <c r="C26" s="144">
        <v>1</v>
      </c>
      <c r="D26" s="145" t="s">
        <v>11</v>
      </c>
      <c r="E26" s="475"/>
      <c r="F26" s="475"/>
      <c r="G26" s="475"/>
      <c r="H26" s="475"/>
      <c r="I26" s="471"/>
      <c r="J26" s="471"/>
      <c r="K26" s="471"/>
      <c r="L26" s="471"/>
      <c r="M26" s="471"/>
    </row>
    <row r="27" spans="1:16" s="140" customFormat="1" x14ac:dyDescent="0.2">
      <c r="A27" s="471"/>
      <c r="B27" s="471"/>
      <c r="C27" s="471"/>
      <c r="D27" s="471"/>
      <c r="E27" s="471"/>
      <c r="F27" s="471"/>
      <c r="G27" s="471"/>
      <c r="H27" s="471"/>
      <c r="I27" s="471"/>
      <c r="J27" s="471"/>
      <c r="K27" s="471"/>
      <c r="L27" s="471"/>
      <c r="M27" s="471"/>
    </row>
    <row r="189" spans="4:4" ht="31.5" customHeight="1" x14ac:dyDescent="0.2">
      <c r="D189" s="801"/>
    </row>
  </sheetData>
  <mergeCells count="26">
    <mergeCell ref="B17:M17"/>
    <mergeCell ref="C6:M6"/>
    <mergeCell ref="C5:M5"/>
    <mergeCell ref="A6:B6"/>
    <mergeCell ref="A7:B7"/>
    <mergeCell ref="A8:B8"/>
    <mergeCell ref="A13:M13"/>
    <mergeCell ref="A10:M10"/>
    <mergeCell ref="A11:M11"/>
    <mergeCell ref="C7:F7"/>
    <mergeCell ref="C8:F8"/>
    <mergeCell ref="C9:F9"/>
    <mergeCell ref="I7:M7"/>
    <mergeCell ref="I8:M8"/>
    <mergeCell ref="G7:H8"/>
    <mergeCell ref="G9:H9"/>
    <mergeCell ref="I9:M9"/>
    <mergeCell ref="A9:B9"/>
    <mergeCell ref="A1:M1"/>
    <mergeCell ref="L4:M4"/>
    <mergeCell ref="J4:K4"/>
    <mergeCell ref="A4:B4"/>
    <mergeCell ref="A5:B5"/>
    <mergeCell ref="C4:I4"/>
    <mergeCell ref="A2:M2"/>
    <mergeCell ref="A3:M3"/>
  </mergeCells>
  <phoneticPr fontId="21" type="noConversion"/>
  <pageMargins left="0.511811024" right="0.511811024" top="0.47" bottom="0.78740157499999996" header="0.31496062000000002" footer="0.31496062000000002"/>
  <pageSetup paperSize="9" scale="7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P189"/>
  <sheetViews>
    <sheetView view="pageBreakPreview" zoomScale="110" zoomScaleNormal="100" zoomScaleSheetLayoutView="110" workbookViewId="0">
      <selection activeCell="A2" sqref="A2:XFD3"/>
    </sheetView>
  </sheetViews>
  <sheetFormatPr defaultColWidth="9.140625" defaultRowHeight="14.25" x14ac:dyDescent="0.2"/>
  <cols>
    <col min="1" max="3" width="9.42578125" style="57" bestFit="1" customWidth="1"/>
    <col min="4" max="4" width="9.7109375" style="57" bestFit="1" customWidth="1"/>
    <col min="5" max="6" width="9.42578125" style="57" bestFit="1" customWidth="1"/>
    <col min="7" max="7" width="9.140625" style="57"/>
    <col min="8" max="8" width="9.42578125" style="57" customWidth="1"/>
    <col min="9" max="9" width="9.42578125" style="57" bestFit="1" customWidth="1"/>
    <col min="10" max="12" width="9.140625" style="57"/>
    <col min="13" max="13" width="11.5703125" style="57" customWidth="1"/>
    <col min="14" max="14" width="18" style="57" bestFit="1" customWidth="1"/>
    <col min="15" max="16384" width="9.140625" style="57"/>
  </cols>
  <sheetData>
    <row r="1" spans="1:16" customFormat="1" ht="93.75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</row>
    <row r="2" spans="1:16" customFormat="1" ht="21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</row>
    <row r="3" spans="1:16" customFormat="1" ht="1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</row>
    <row r="4" spans="1:16" ht="21.75" customHeight="1" x14ac:dyDescent="0.2">
      <c r="A4" s="969" t="s">
        <v>33</v>
      </c>
      <c r="B4" s="970"/>
      <c r="C4" s="977" t="str">
        <f>COMPOSIÇÕES!B4</f>
        <v>PREFEITURA MUNICIPAL DE BRASIL NOVO/PA</v>
      </c>
      <c r="D4" s="977"/>
      <c r="E4" s="977"/>
      <c r="F4" s="977"/>
      <c r="G4" s="977"/>
      <c r="H4" s="977"/>
      <c r="I4" s="978"/>
      <c r="J4" s="1128" t="s">
        <v>859</v>
      </c>
      <c r="K4" s="1129"/>
      <c r="L4" s="1126" t="str">
        <f>ORÇAMENTO!J4</f>
        <v>BRASIL NOVO/PA</v>
      </c>
      <c r="M4" s="1127"/>
    </row>
    <row r="5" spans="1:16" ht="19.5" customHeight="1" x14ac:dyDescent="0.2">
      <c r="A5" s="969" t="s">
        <v>860</v>
      </c>
      <c r="B5" s="970"/>
      <c r="C5" s="1109" t="str">
        <f>COMPOSIÇÕES!B5</f>
        <v>CONSTRUÇÃO DE PRAÇA NO MUNICÍPIO DE BRASIL NOVO - PARÁ</v>
      </c>
      <c r="D5" s="1110"/>
      <c r="E5" s="1110"/>
      <c r="F5" s="1110"/>
      <c r="G5" s="1110"/>
      <c r="H5" s="1110"/>
      <c r="I5" s="1110"/>
      <c r="J5" s="1110"/>
      <c r="K5" s="1110"/>
      <c r="L5" s="1110"/>
      <c r="M5" s="1134"/>
    </row>
    <row r="6" spans="1:16" ht="18.75" customHeight="1" x14ac:dyDescent="0.2">
      <c r="A6" s="969" t="s">
        <v>861</v>
      </c>
      <c r="B6" s="970"/>
      <c r="C6" s="1131" t="str">
        <f>ORÇAMENTO!B6</f>
        <v>AVENIDA TRANSAMAZÔNICA S/N, BRASIL NOVO/PA</v>
      </c>
      <c r="D6" s="1132"/>
      <c r="E6" s="1132"/>
      <c r="F6" s="1132"/>
      <c r="G6" s="1132"/>
      <c r="H6" s="1132"/>
      <c r="I6" s="1132"/>
      <c r="J6" s="1132"/>
      <c r="K6" s="1132"/>
      <c r="L6" s="1132"/>
      <c r="M6" s="1133"/>
    </row>
    <row r="7" spans="1:16" ht="16.5" customHeight="1" x14ac:dyDescent="0.2">
      <c r="A7" s="980" t="s">
        <v>80</v>
      </c>
      <c r="B7" s="981"/>
      <c r="C7" s="1153">
        <f>ORÇAMENTO!B7</f>
        <v>0.29769428939090381</v>
      </c>
      <c r="D7" s="1154"/>
      <c r="E7" s="1154"/>
      <c r="F7" s="1155"/>
      <c r="G7" s="1150" t="s">
        <v>34</v>
      </c>
      <c r="H7" s="1151"/>
      <c r="I7" s="1113" t="str">
        <f>ORÇAMENTO!H7</f>
        <v>SINAPI FEVEREIRO 2022 - DESONERADA</v>
      </c>
      <c r="J7" s="1113"/>
      <c r="K7" s="1113"/>
      <c r="L7" s="1113"/>
      <c r="M7" s="1113"/>
    </row>
    <row r="8" spans="1:16" ht="18.75" customHeight="1" x14ac:dyDescent="0.2">
      <c r="A8" s="969" t="s">
        <v>863</v>
      </c>
      <c r="B8" s="970"/>
      <c r="C8" s="965" t="str">
        <f>ORÇAMENTO!B8</f>
        <v>06 meses</v>
      </c>
      <c r="D8" s="965"/>
      <c r="E8" s="965"/>
      <c r="F8" s="965"/>
      <c r="G8" s="1118"/>
      <c r="H8" s="1119"/>
      <c r="I8" s="1147" t="str">
        <f>ORÇAMENTO!H8</f>
        <v>SEDOP FEVEREIRO 2022 - DESONERADA</v>
      </c>
      <c r="J8" s="1148"/>
      <c r="K8" s="1148"/>
      <c r="L8" s="1148"/>
      <c r="M8" s="1149"/>
    </row>
    <row r="9" spans="1:16" ht="17.25" customHeight="1" x14ac:dyDescent="0.2">
      <c r="A9" s="969" t="s">
        <v>865</v>
      </c>
      <c r="B9" s="970"/>
      <c r="C9" s="1124">
        <f>ORÇAMENTO!B9</f>
        <v>1202969.1098858207</v>
      </c>
      <c r="D9" s="1146"/>
      <c r="E9" s="1146"/>
      <c r="F9" s="1125"/>
      <c r="G9" s="1103" t="s">
        <v>864</v>
      </c>
      <c r="H9" s="1104"/>
      <c r="I9" s="963">
        <f>ORÇAMENTO!H9</f>
        <v>44749</v>
      </c>
      <c r="J9" s="963"/>
      <c r="K9" s="963"/>
      <c r="L9" s="963"/>
      <c r="M9" s="963"/>
      <c r="N9" s="136"/>
      <c r="O9" s="136"/>
      <c r="P9" s="136"/>
    </row>
    <row r="10" spans="1:16" ht="15.75" thickBot="1" x14ac:dyDescent="0.25">
      <c r="A10" s="1138"/>
      <c r="B10" s="1139"/>
      <c r="C10" s="1139"/>
      <c r="D10" s="1139"/>
      <c r="E10" s="1139"/>
      <c r="F10" s="1139"/>
      <c r="G10" s="1139"/>
      <c r="H10" s="1139"/>
      <c r="I10" s="1139"/>
      <c r="J10" s="1139"/>
      <c r="K10" s="1139"/>
      <c r="L10" s="1139"/>
      <c r="M10" s="1139"/>
      <c r="N10" s="136"/>
      <c r="O10" s="136"/>
      <c r="P10" s="136"/>
    </row>
    <row r="11" spans="1:16" ht="15.75" thickBot="1" x14ac:dyDescent="0.25">
      <c r="A11" s="1140" t="s">
        <v>867</v>
      </c>
      <c r="B11" s="1141"/>
      <c r="C11" s="1141"/>
      <c r="D11" s="1141"/>
      <c r="E11" s="1141"/>
      <c r="F11" s="1141"/>
      <c r="G11" s="1141"/>
      <c r="H11" s="1141"/>
      <c r="I11" s="1141"/>
      <c r="J11" s="1141"/>
      <c r="K11" s="1141"/>
      <c r="L11" s="1141"/>
      <c r="M11" s="1142"/>
      <c r="N11" s="136"/>
      <c r="O11" s="136"/>
      <c r="P11" s="136"/>
    </row>
    <row r="12" spans="1:16" ht="9.75" customHeight="1" thickBot="1" x14ac:dyDescent="0.25">
      <c r="A12" s="463"/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5"/>
      <c r="N12" s="136"/>
      <c r="O12" s="136"/>
      <c r="P12" s="136"/>
    </row>
    <row r="13" spans="1:16" ht="15.75" thickBot="1" x14ac:dyDescent="0.25">
      <c r="A13" s="1135" t="str">
        <f>ORÇAMENTO!$D$16</f>
        <v>SERVIÇOS PRELIMINARES</v>
      </c>
      <c r="B13" s="1136"/>
      <c r="C13" s="1136"/>
      <c r="D13" s="1136"/>
      <c r="E13" s="1136"/>
      <c r="F13" s="1136"/>
      <c r="G13" s="1136"/>
      <c r="H13" s="1136"/>
      <c r="I13" s="1136"/>
      <c r="J13" s="1136"/>
      <c r="K13" s="1136"/>
      <c r="L13" s="1136"/>
      <c r="M13" s="1137"/>
      <c r="N13" s="136"/>
      <c r="O13" s="136"/>
      <c r="P13" s="136"/>
    </row>
    <row r="14" spans="1:16" ht="15" x14ac:dyDescent="0.2">
      <c r="A14" s="154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37"/>
      <c r="N14" s="136"/>
      <c r="O14" s="136"/>
      <c r="P14" s="136"/>
    </row>
    <row r="15" spans="1:16" ht="15" x14ac:dyDescent="0.2">
      <c r="A15" s="165">
        <f>ORÇAMENTO!A16</f>
        <v>2</v>
      </c>
      <c r="B15" s="469" t="str">
        <f>ORÇAMENTO!D16</f>
        <v>SERVIÇOS PRELIMINARES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37"/>
      <c r="O15" s="137"/>
      <c r="P15" s="137"/>
    </row>
    <row r="16" spans="1:16" ht="15" x14ac:dyDescent="0.2">
      <c r="A16" s="165"/>
      <c r="B16" s="469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37"/>
      <c r="O16" s="137"/>
      <c r="P16" s="137"/>
    </row>
    <row r="17" spans="1:16" ht="15" x14ac:dyDescent="0.25">
      <c r="A17" s="165" t="str">
        <f>ORÇAMENTO!A17</f>
        <v>2.1</v>
      </c>
      <c r="B17" s="469" t="str">
        <f>ORÇAMENTO!D17</f>
        <v>PLACA DA OBRA EM CHAPA GALVANIZADA</v>
      </c>
      <c r="C17" s="164"/>
      <c r="D17" s="355"/>
      <c r="E17" s="164"/>
      <c r="F17" s="164"/>
      <c r="G17" s="355"/>
      <c r="H17" s="164"/>
      <c r="I17" s="164"/>
      <c r="J17" s="355"/>
      <c r="K17" s="164"/>
      <c r="L17" s="164"/>
      <c r="M17" s="355"/>
      <c r="N17" s="146"/>
      <c r="O17" s="146"/>
      <c r="P17" s="147"/>
    </row>
    <row r="18" spans="1:16" ht="15" x14ac:dyDescent="0.25">
      <c r="A18" s="164"/>
      <c r="B18" s="355"/>
      <c r="C18" s="157" t="s">
        <v>74</v>
      </c>
      <c r="D18" s="355"/>
      <c r="E18" s="164"/>
      <c r="F18" s="157" t="s">
        <v>75</v>
      </c>
      <c r="G18" s="355"/>
      <c r="H18" s="164"/>
      <c r="I18" s="164"/>
      <c r="J18" s="355"/>
      <c r="K18" s="164"/>
      <c r="L18" s="164"/>
      <c r="M18" s="355"/>
      <c r="N18" s="146"/>
      <c r="O18" s="146"/>
      <c r="P18" s="147"/>
    </row>
    <row r="19" spans="1:16" ht="15" x14ac:dyDescent="0.25">
      <c r="A19" s="164"/>
      <c r="B19" s="157" t="s">
        <v>30</v>
      </c>
      <c r="C19" s="157">
        <v>3</v>
      </c>
      <c r="D19" s="174" t="s">
        <v>13</v>
      </c>
      <c r="E19" s="157" t="s">
        <v>22</v>
      </c>
      <c r="F19" s="157">
        <v>2</v>
      </c>
      <c r="G19" s="174" t="s">
        <v>13</v>
      </c>
      <c r="H19" s="157"/>
      <c r="I19" s="157"/>
      <c r="J19" s="174"/>
      <c r="K19" s="157"/>
      <c r="L19" s="157"/>
      <c r="M19" s="174"/>
      <c r="N19" s="148"/>
      <c r="O19" s="148"/>
      <c r="P19" s="149"/>
    </row>
    <row r="20" spans="1:16" ht="15" x14ac:dyDescent="0.25">
      <c r="A20" s="146"/>
      <c r="B20" s="150" t="s">
        <v>30</v>
      </c>
      <c r="C20" s="151">
        <f>C19*F19</f>
        <v>6</v>
      </c>
      <c r="D20" s="152" t="s">
        <v>4</v>
      </c>
      <c r="E20" s="53"/>
      <c r="F20" s="157"/>
      <c r="G20" s="174"/>
      <c r="H20" s="157"/>
      <c r="I20" s="157"/>
      <c r="J20" s="174"/>
      <c r="K20" s="157"/>
      <c r="L20" s="157"/>
      <c r="M20" s="174"/>
      <c r="N20" s="148"/>
      <c r="O20" s="148"/>
      <c r="P20" s="149"/>
    </row>
    <row r="21" spans="1:16" ht="15" x14ac:dyDescent="0.25">
      <c r="A21" s="164"/>
      <c r="B21" s="157"/>
      <c r="C21" s="157"/>
      <c r="D21" s="174"/>
      <c r="E21" s="157"/>
      <c r="F21" s="157"/>
      <c r="G21" s="174"/>
      <c r="H21" s="157"/>
      <c r="I21" s="157"/>
      <c r="J21" s="174"/>
      <c r="K21" s="157"/>
      <c r="L21" s="157"/>
      <c r="M21" s="174"/>
      <c r="N21" s="148"/>
      <c r="O21" s="148"/>
      <c r="P21" s="149"/>
    </row>
    <row r="22" spans="1:16" ht="29.25" customHeight="1" x14ac:dyDescent="0.25">
      <c r="A22" s="165" t="str">
        <f>ORÇAMENTO!A18</f>
        <v>2.2</v>
      </c>
      <c r="B22" s="1152" t="str">
        <f>ORÇAMENTO!D18</f>
        <v>LOCACAO CONVENCIONAL DE OBRA, UTILIZANDO GABARITO DE TÁBUAS CORRIDAS PONTALETADAS A CADA 2,00M - 2 UTILIZAÇÕES. AF_10/2018</v>
      </c>
      <c r="C22" s="1152"/>
      <c r="D22" s="1152"/>
      <c r="E22" s="1152"/>
      <c r="F22" s="1152"/>
      <c r="G22" s="1152"/>
      <c r="H22" s="1152"/>
      <c r="I22" s="1152"/>
      <c r="J22" s="1152"/>
      <c r="K22" s="1152"/>
      <c r="L22" s="1152"/>
      <c r="M22" s="1152"/>
      <c r="N22" s="146"/>
      <c r="O22" s="146"/>
      <c r="P22" s="147"/>
    </row>
    <row r="23" spans="1:16" ht="15" x14ac:dyDescent="0.25">
      <c r="A23" s="164"/>
      <c r="B23" s="353"/>
      <c r="C23" s="353"/>
      <c r="D23" s="353"/>
      <c r="E23" s="353"/>
      <c r="F23" s="353"/>
      <c r="G23" s="353"/>
      <c r="H23" s="353"/>
      <c r="I23" s="353"/>
      <c r="J23" s="353"/>
      <c r="K23" s="353"/>
      <c r="L23" s="164"/>
      <c r="M23" s="355"/>
      <c r="N23" s="146"/>
      <c r="O23" s="146"/>
      <c r="P23" s="147"/>
    </row>
    <row r="24" spans="1:16" ht="15" x14ac:dyDescent="0.25">
      <c r="A24" s="164"/>
      <c r="B24" s="156" t="s">
        <v>316</v>
      </c>
      <c r="C24" s="156"/>
      <c r="D24" s="156"/>
      <c r="E24" s="157">
        <v>274.29000000000002</v>
      </c>
      <c r="F24" s="162"/>
      <c r="G24" s="162"/>
      <c r="H24" s="353"/>
      <c r="I24" s="353"/>
      <c r="J24" s="353"/>
      <c r="K24" s="353"/>
      <c r="L24" s="164"/>
      <c r="M24" s="355"/>
      <c r="N24" s="146"/>
      <c r="O24" s="146"/>
      <c r="P24" s="147"/>
    </row>
    <row r="25" spans="1:16" ht="15" x14ac:dyDescent="0.25">
      <c r="A25" s="164"/>
      <c r="B25" s="156" t="s">
        <v>317</v>
      </c>
      <c r="C25" s="156"/>
      <c r="D25" s="156"/>
      <c r="E25" s="157">
        <v>35.61</v>
      </c>
      <c r="F25" s="162"/>
      <c r="G25" s="162"/>
      <c r="H25" s="162"/>
      <c r="I25" s="162"/>
      <c r="J25" s="162"/>
      <c r="K25" s="162"/>
      <c r="L25" s="157"/>
      <c r="M25" s="174"/>
      <c r="N25" s="148"/>
      <c r="O25" s="148"/>
      <c r="P25" s="149"/>
    </row>
    <row r="26" spans="1:16" ht="15" customHeight="1" x14ac:dyDescent="0.25">
      <c r="A26" s="164"/>
      <c r="B26" s="156"/>
      <c r="C26" s="156"/>
      <c r="D26" s="157"/>
      <c r="E26" s="174"/>
      <c r="F26" s="53"/>
      <c r="G26" s="53"/>
      <c r="H26" s="162"/>
      <c r="I26" s="162"/>
      <c r="J26" s="162"/>
      <c r="K26" s="162"/>
      <c r="L26" s="162"/>
      <c r="M26" s="162"/>
      <c r="N26" s="153"/>
      <c r="O26" s="153"/>
      <c r="P26" s="153"/>
    </row>
    <row r="27" spans="1:16" ht="15" x14ac:dyDescent="0.25">
      <c r="A27" s="164"/>
      <c r="B27" s="150" t="s">
        <v>31</v>
      </c>
      <c r="C27" s="151">
        <f>E24+E25</f>
        <v>309.90000000000003</v>
      </c>
      <c r="D27" s="152" t="s">
        <v>13</v>
      </c>
      <c r="E27" s="467"/>
      <c r="F27" s="53"/>
      <c r="G27" s="53"/>
      <c r="H27" s="162"/>
      <c r="I27" s="162"/>
      <c r="J27" s="162"/>
      <c r="K27" s="162"/>
      <c r="L27" s="162"/>
      <c r="M27" s="162"/>
      <c r="N27" s="153"/>
      <c r="O27" s="153"/>
      <c r="P27" s="153"/>
    </row>
    <row r="28" spans="1:16" ht="15" x14ac:dyDescent="0.25">
      <c r="A28" s="164"/>
      <c r="B28" s="157"/>
      <c r="C28" s="157"/>
      <c r="D28" s="174"/>
      <c r="E28" s="157"/>
      <c r="F28" s="162"/>
      <c r="G28" s="162"/>
      <c r="H28" s="162"/>
      <c r="I28" s="162"/>
      <c r="J28" s="162"/>
      <c r="K28" s="162"/>
      <c r="L28" s="157"/>
      <c r="M28" s="174"/>
      <c r="N28" s="148"/>
      <c r="O28" s="148"/>
      <c r="P28" s="149"/>
    </row>
    <row r="29" spans="1:16" ht="21.75" customHeight="1" x14ac:dyDescent="0.25">
      <c r="A29" s="154" t="str">
        <f>ORÇAMENTO!A19</f>
        <v>2.3</v>
      </c>
      <c r="B29" s="1130" t="str">
        <f>ORÇAMENTO!D19</f>
        <v xml:space="preserve">Barracão de madeira (incl. instalações)	</v>
      </c>
      <c r="C29" s="1130"/>
      <c r="D29" s="1130"/>
      <c r="E29" s="1130"/>
      <c r="F29" s="1130"/>
      <c r="G29" s="1130"/>
      <c r="H29" s="1130"/>
      <c r="I29" s="1130"/>
      <c r="J29" s="1130"/>
      <c r="K29" s="1130"/>
      <c r="L29" s="1130"/>
      <c r="M29" s="1130"/>
      <c r="N29" s="146"/>
      <c r="O29" s="146"/>
      <c r="P29" s="147"/>
    </row>
    <row r="30" spans="1:16" ht="15" x14ac:dyDescent="0.25">
      <c r="A30" s="164"/>
      <c r="B30" s="468"/>
      <c r="C30" s="468"/>
      <c r="D30" s="468"/>
      <c r="E30" s="468"/>
      <c r="F30" s="468"/>
      <c r="G30" s="468"/>
      <c r="H30" s="468"/>
      <c r="I30" s="468"/>
      <c r="J30" s="468"/>
      <c r="K30" s="468"/>
      <c r="L30" s="164"/>
      <c r="M30" s="355"/>
      <c r="N30" s="146"/>
      <c r="O30" s="146"/>
      <c r="P30" s="147"/>
    </row>
    <row r="31" spans="1:16" ht="15" x14ac:dyDescent="0.25">
      <c r="A31" s="164"/>
      <c r="B31" s="157"/>
      <c r="C31" s="157" t="s">
        <v>264</v>
      </c>
      <c r="D31" s="174"/>
      <c r="E31" s="157" t="s">
        <v>265</v>
      </c>
      <c r="F31" s="174"/>
      <c r="G31" s="174"/>
      <c r="H31" s="157"/>
      <c r="I31" s="157"/>
      <c r="J31" s="174"/>
      <c r="K31" s="157"/>
      <c r="L31" s="157"/>
      <c r="M31" s="174"/>
      <c r="N31" s="148"/>
      <c r="O31" s="148"/>
      <c r="P31" s="149"/>
    </row>
    <row r="32" spans="1:16" ht="15" x14ac:dyDescent="0.25">
      <c r="A32" s="164"/>
      <c r="B32" s="157" t="s">
        <v>31</v>
      </c>
      <c r="C32" s="157">
        <v>3</v>
      </c>
      <c r="D32" s="157" t="s">
        <v>22</v>
      </c>
      <c r="E32" s="157">
        <v>5</v>
      </c>
      <c r="F32" s="174"/>
      <c r="G32" s="174"/>
      <c r="H32" s="157"/>
      <c r="I32" s="157"/>
      <c r="J32" s="174"/>
      <c r="K32" s="157"/>
      <c r="L32" s="157"/>
      <c r="M32" s="174"/>
      <c r="N32" s="148"/>
      <c r="O32" s="148"/>
      <c r="P32" s="149"/>
    </row>
    <row r="33" spans="1:16" ht="15" x14ac:dyDescent="0.25">
      <c r="A33" s="164"/>
      <c r="B33" s="150" t="s">
        <v>31</v>
      </c>
      <c r="C33" s="151">
        <f>ROUND((C32*E32),2)</f>
        <v>15</v>
      </c>
      <c r="D33" s="152" t="s">
        <v>4</v>
      </c>
      <c r="E33" s="53"/>
      <c r="F33" s="174"/>
      <c r="G33" s="174"/>
      <c r="H33" s="157"/>
      <c r="I33" s="157"/>
      <c r="J33" s="174"/>
      <c r="K33" s="157"/>
      <c r="L33" s="157"/>
      <c r="M33" s="174"/>
      <c r="N33" s="148"/>
      <c r="O33" s="148"/>
      <c r="P33" s="149"/>
    </row>
    <row r="34" spans="1:16" ht="15" x14ac:dyDescent="0.25">
      <c r="A34" s="164"/>
      <c r="B34" s="157"/>
      <c r="C34" s="157"/>
      <c r="D34" s="174"/>
      <c r="E34" s="157"/>
      <c r="F34" s="174"/>
      <c r="G34" s="174"/>
      <c r="H34" s="157"/>
      <c r="I34" s="157"/>
      <c r="J34" s="174"/>
      <c r="K34" s="157"/>
      <c r="L34" s="157"/>
      <c r="M34" s="174"/>
      <c r="N34" s="148"/>
      <c r="O34" s="148"/>
      <c r="P34" s="149"/>
    </row>
    <row r="35" spans="1:16" ht="21.75" customHeight="1" x14ac:dyDescent="0.25">
      <c r="A35" s="154" t="str">
        <f>ORÇAMENTO!A20</f>
        <v>2.4</v>
      </c>
      <c r="B35" s="1130" t="str">
        <f>ORÇAMENTO!D20</f>
        <v>Licenças e taxas da obra (acima de 500m2)</v>
      </c>
      <c r="C35" s="1130"/>
      <c r="D35" s="1130"/>
      <c r="E35" s="1130"/>
      <c r="F35" s="1130"/>
      <c r="G35" s="1130"/>
      <c r="H35" s="1130"/>
      <c r="I35" s="1130"/>
      <c r="J35" s="1130"/>
      <c r="K35" s="1130"/>
      <c r="L35" s="1130"/>
      <c r="M35" s="1130"/>
      <c r="N35" s="146"/>
      <c r="O35" s="146"/>
      <c r="P35" s="147"/>
    </row>
    <row r="36" spans="1:16" ht="15" x14ac:dyDescent="0.25">
      <c r="A36" s="164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164"/>
      <c r="M36" s="355"/>
      <c r="N36" s="146"/>
      <c r="O36" s="146"/>
      <c r="P36" s="147"/>
    </row>
    <row r="37" spans="1:16" ht="15" x14ac:dyDescent="0.25">
      <c r="A37" s="164"/>
      <c r="B37" s="150" t="s">
        <v>31</v>
      </c>
      <c r="C37" s="151">
        <v>1</v>
      </c>
      <c r="D37" s="152" t="s">
        <v>1122</v>
      </c>
      <c r="E37" s="53"/>
      <c r="F37" s="174"/>
      <c r="G37" s="174"/>
      <c r="H37" s="157"/>
      <c r="I37" s="157"/>
      <c r="J37" s="174"/>
      <c r="K37" s="157"/>
      <c r="L37" s="157"/>
      <c r="M37" s="174"/>
      <c r="N37" s="148"/>
      <c r="O37" s="148"/>
      <c r="P37" s="149"/>
    </row>
    <row r="189" spans="4:4" ht="31.5" customHeight="1" x14ac:dyDescent="0.2">
      <c r="D189" s="801"/>
    </row>
  </sheetData>
  <mergeCells count="28">
    <mergeCell ref="B35:M35"/>
    <mergeCell ref="B22:M22"/>
    <mergeCell ref="B29:M29"/>
    <mergeCell ref="A6:B6"/>
    <mergeCell ref="C6:M6"/>
    <mergeCell ref="A7:B7"/>
    <mergeCell ref="C7:F7"/>
    <mergeCell ref="A9:B9"/>
    <mergeCell ref="C9:F9"/>
    <mergeCell ref="G9:H9"/>
    <mergeCell ref="I9:M9"/>
    <mergeCell ref="A13:M13"/>
    <mergeCell ref="A11:M11"/>
    <mergeCell ref="A10:M10"/>
    <mergeCell ref="A1:M1"/>
    <mergeCell ref="A4:B4"/>
    <mergeCell ref="C4:I4"/>
    <mergeCell ref="J4:K4"/>
    <mergeCell ref="L4:M4"/>
    <mergeCell ref="A2:M2"/>
    <mergeCell ref="A3:M3"/>
    <mergeCell ref="A5:B5"/>
    <mergeCell ref="C5:M5"/>
    <mergeCell ref="G7:H8"/>
    <mergeCell ref="I7:M7"/>
    <mergeCell ref="A8:B8"/>
    <mergeCell ref="C8:F8"/>
    <mergeCell ref="I8:M8"/>
  </mergeCells>
  <pageMargins left="0.65" right="0.511811024" top="0.57999999999999996" bottom="0.78740157499999996" header="0.31496062000000002" footer="0.31496062000000002"/>
  <pageSetup paperSize="9" scale="7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P189"/>
  <sheetViews>
    <sheetView view="pageBreakPreview" zoomScale="110" zoomScaleNormal="100" zoomScaleSheetLayoutView="110" workbookViewId="0">
      <selection activeCell="A2" sqref="A2:XFD3"/>
    </sheetView>
  </sheetViews>
  <sheetFormatPr defaultColWidth="9.140625" defaultRowHeight="14.25" x14ac:dyDescent="0.2"/>
  <cols>
    <col min="1" max="2" width="9.42578125" style="57" bestFit="1" customWidth="1"/>
    <col min="3" max="3" width="10.42578125" style="57" bestFit="1" customWidth="1"/>
    <col min="4" max="4" width="9.7109375" style="57" bestFit="1" customWidth="1"/>
    <col min="5" max="6" width="9.42578125" style="57" bestFit="1" customWidth="1"/>
    <col min="7" max="7" width="9.140625" style="57"/>
    <col min="8" max="8" width="9.42578125" style="57" customWidth="1"/>
    <col min="9" max="9" width="9.42578125" style="57" bestFit="1" customWidth="1"/>
    <col min="10" max="12" width="9.140625" style="57"/>
    <col min="13" max="13" width="11.5703125" style="57" customWidth="1"/>
    <col min="14" max="14" width="18" style="57" bestFit="1" customWidth="1"/>
    <col min="15" max="16384" width="9.140625" style="57"/>
  </cols>
  <sheetData>
    <row r="1" spans="1:16" customFormat="1" ht="90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</row>
    <row r="2" spans="1:16" customFormat="1" ht="21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</row>
    <row r="3" spans="1:16" customFormat="1" ht="1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</row>
    <row r="4" spans="1:16" ht="20.25" customHeight="1" x14ac:dyDescent="0.2">
      <c r="A4" s="969" t="s">
        <v>33</v>
      </c>
      <c r="B4" s="970"/>
      <c r="C4" s="977" t="str">
        <f>COMPOSIÇÕES!B4</f>
        <v>PREFEITURA MUNICIPAL DE BRASIL NOVO/PA</v>
      </c>
      <c r="D4" s="977"/>
      <c r="E4" s="977"/>
      <c r="F4" s="977"/>
      <c r="G4" s="977"/>
      <c r="H4" s="977"/>
      <c r="I4" s="978"/>
      <c r="J4" s="1128" t="s">
        <v>859</v>
      </c>
      <c r="K4" s="1129"/>
      <c r="L4" s="1126" t="str">
        <f>ORÇAMENTO!J4</f>
        <v>BRASIL NOVO/PA</v>
      </c>
      <c r="M4" s="1127"/>
    </row>
    <row r="5" spans="1:16" ht="15" customHeight="1" x14ac:dyDescent="0.2">
      <c r="A5" s="969" t="s">
        <v>860</v>
      </c>
      <c r="B5" s="970"/>
      <c r="C5" s="1109" t="str">
        <f>COMPOSIÇÕES!B5</f>
        <v>CONSTRUÇÃO DE PRAÇA NO MUNICÍPIO DE BRASIL NOVO - PARÁ</v>
      </c>
      <c r="D5" s="1110"/>
      <c r="E5" s="1110"/>
      <c r="F5" s="1110"/>
      <c r="G5" s="1110"/>
      <c r="H5" s="1110"/>
      <c r="I5" s="1110"/>
      <c r="J5" s="1110"/>
      <c r="K5" s="1110"/>
      <c r="L5" s="1110"/>
      <c r="M5" s="1134"/>
    </row>
    <row r="6" spans="1:16" ht="15" x14ac:dyDescent="0.2">
      <c r="A6" s="969" t="s">
        <v>861</v>
      </c>
      <c r="B6" s="970"/>
      <c r="C6" s="1131" t="str">
        <f>ORÇAMENTO!B6</f>
        <v>AVENIDA TRANSAMAZÔNICA S/N, BRASIL NOVO/PA</v>
      </c>
      <c r="D6" s="1132"/>
      <c r="E6" s="1132"/>
      <c r="F6" s="1132"/>
      <c r="G6" s="1132"/>
      <c r="H6" s="1132"/>
      <c r="I6" s="1132"/>
      <c r="J6" s="1132"/>
      <c r="K6" s="1132"/>
      <c r="L6" s="1132"/>
      <c r="M6" s="1133"/>
    </row>
    <row r="7" spans="1:16" ht="15" x14ac:dyDescent="0.2">
      <c r="A7" s="980" t="s">
        <v>80</v>
      </c>
      <c r="B7" s="981"/>
      <c r="C7" s="1153">
        <f>ORÇAMENTO!B7</f>
        <v>0.29769428939090381</v>
      </c>
      <c r="D7" s="1154"/>
      <c r="E7" s="1154"/>
      <c r="F7" s="1155"/>
      <c r="G7" s="1150" t="s">
        <v>34</v>
      </c>
      <c r="H7" s="1151"/>
      <c r="I7" s="1113" t="str">
        <f>ORÇAMENTO!H7</f>
        <v>SINAPI FEVEREIRO 2022 - DESONERADA</v>
      </c>
      <c r="J7" s="1113"/>
      <c r="K7" s="1113"/>
      <c r="L7" s="1113"/>
      <c r="M7" s="1113"/>
    </row>
    <row r="8" spans="1:16" ht="15" x14ac:dyDescent="0.2">
      <c r="A8" s="969" t="s">
        <v>863</v>
      </c>
      <c r="B8" s="970"/>
      <c r="C8" s="965" t="str">
        <f>ORÇAMENTO!B8</f>
        <v>06 meses</v>
      </c>
      <c r="D8" s="965"/>
      <c r="E8" s="965"/>
      <c r="F8" s="965"/>
      <c r="G8" s="1118"/>
      <c r="H8" s="1119"/>
      <c r="I8" s="1147" t="str">
        <f>ORÇAMENTO!H8</f>
        <v>SEDOP FEVEREIRO 2022 - DESONERADA</v>
      </c>
      <c r="J8" s="1148"/>
      <c r="K8" s="1148"/>
      <c r="L8" s="1148"/>
      <c r="M8" s="1149"/>
    </row>
    <row r="9" spans="1:16" ht="15" x14ac:dyDescent="0.2">
      <c r="A9" s="969" t="s">
        <v>865</v>
      </c>
      <c r="B9" s="970"/>
      <c r="C9" s="1124">
        <f>ORÇAMENTO!B9</f>
        <v>1202969.1098858207</v>
      </c>
      <c r="D9" s="1146"/>
      <c r="E9" s="1146"/>
      <c r="F9" s="1125"/>
      <c r="G9" s="1103" t="s">
        <v>864</v>
      </c>
      <c r="H9" s="1104"/>
      <c r="I9" s="963">
        <f>ORÇAMENTO!H9</f>
        <v>44749</v>
      </c>
      <c r="J9" s="963"/>
      <c r="K9" s="963"/>
      <c r="L9" s="963"/>
      <c r="M9" s="963"/>
      <c r="N9" s="136"/>
      <c r="O9" s="136"/>
      <c r="P9" s="136"/>
    </row>
    <row r="10" spans="1:16" ht="9.75" customHeight="1" thickBot="1" x14ac:dyDescent="0.25">
      <c r="A10" s="1138"/>
      <c r="B10" s="1139"/>
      <c r="C10" s="1139"/>
      <c r="D10" s="1139"/>
      <c r="E10" s="1139"/>
      <c r="F10" s="1139"/>
      <c r="G10" s="1139"/>
      <c r="H10" s="1139"/>
      <c r="I10" s="1139"/>
      <c r="J10" s="1139"/>
      <c r="K10" s="1139"/>
      <c r="L10" s="1139"/>
      <c r="M10" s="1139"/>
      <c r="N10" s="136"/>
      <c r="O10" s="136"/>
      <c r="P10" s="136"/>
    </row>
    <row r="11" spans="1:16" ht="15.75" thickBot="1" x14ac:dyDescent="0.25">
      <c r="A11" s="1140" t="s">
        <v>869</v>
      </c>
      <c r="B11" s="1141"/>
      <c r="C11" s="1141"/>
      <c r="D11" s="1141"/>
      <c r="E11" s="1141"/>
      <c r="F11" s="1141"/>
      <c r="G11" s="1141"/>
      <c r="H11" s="1141"/>
      <c r="I11" s="1141"/>
      <c r="J11" s="1141"/>
      <c r="K11" s="1141"/>
      <c r="L11" s="1141"/>
      <c r="M11" s="1142"/>
      <c r="N11" s="136"/>
      <c r="O11" s="136"/>
      <c r="P11" s="136"/>
    </row>
    <row r="12" spans="1:16" ht="9.75" customHeight="1" thickBot="1" x14ac:dyDescent="0.25">
      <c r="A12" s="463"/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5"/>
      <c r="N12" s="136"/>
      <c r="O12" s="136"/>
      <c r="P12" s="136"/>
    </row>
    <row r="13" spans="1:16" ht="15.75" thickBot="1" x14ac:dyDescent="0.25">
      <c r="A13" s="1135" t="str">
        <f>ORÇAMENTO!D21</f>
        <v>DEMOLIÇÕES E RETIRADAS</v>
      </c>
      <c r="B13" s="1136"/>
      <c r="C13" s="1136"/>
      <c r="D13" s="1136"/>
      <c r="E13" s="1136"/>
      <c r="F13" s="1136"/>
      <c r="G13" s="1136"/>
      <c r="H13" s="1136"/>
      <c r="I13" s="1136"/>
      <c r="J13" s="1136"/>
      <c r="K13" s="1136"/>
      <c r="L13" s="1136"/>
      <c r="M13" s="1137"/>
      <c r="N13" s="136"/>
      <c r="O13" s="136"/>
      <c r="P13" s="136"/>
    </row>
    <row r="14" spans="1:16" ht="15" x14ac:dyDescent="0.2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54"/>
      <c r="M14" s="154"/>
      <c r="N14" s="137"/>
      <c r="O14" s="137"/>
      <c r="P14" s="137"/>
    </row>
    <row r="15" spans="1:16" ht="15" x14ac:dyDescent="0.25">
      <c r="A15" s="167">
        <f>ORÇAMENTO!A21</f>
        <v>3</v>
      </c>
      <c r="B15" s="172" t="str">
        <f>ORÇAMENTO!D21</f>
        <v>DEMOLIÇÕES E RETIRADAS</v>
      </c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</row>
    <row r="16" spans="1:16" ht="15" x14ac:dyDescent="0.25">
      <c r="A16" s="167" t="str">
        <f>ORÇAMENTO!A22</f>
        <v>3.1</v>
      </c>
      <c r="B16" s="172" t="str">
        <f>ORÇAMENTO!D22</f>
        <v>Demolição manual de concreto simples - Calçada existente</v>
      </c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</row>
    <row r="17" spans="1:16" ht="15" x14ac:dyDescent="0.25">
      <c r="A17" s="167"/>
      <c r="B17" s="172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</row>
    <row r="18" spans="1:16" ht="15" x14ac:dyDescent="0.25">
      <c r="A18" s="164"/>
      <c r="B18" s="355"/>
      <c r="C18" s="157" t="s">
        <v>318</v>
      </c>
      <c r="D18" s="355"/>
      <c r="E18" s="164"/>
      <c r="F18" s="157" t="s">
        <v>269</v>
      </c>
      <c r="G18" s="355"/>
      <c r="H18" s="164"/>
      <c r="I18" s="164"/>
      <c r="J18" s="355"/>
      <c r="K18" s="53"/>
      <c r="L18" s="53"/>
      <c r="M18" s="53"/>
      <c r="N18" s="146"/>
      <c r="O18" s="146"/>
      <c r="P18" s="147"/>
    </row>
    <row r="19" spans="1:16" ht="15" x14ac:dyDescent="0.25">
      <c r="A19" s="164"/>
      <c r="B19" s="157" t="s">
        <v>30</v>
      </c>
      <c r="C19" s="157">
        <v>1085.9000000000001</v>
      </c>
      <c r="D19" s="174" t="s">
        <v>4</v>
      </c>
      <c r="E19" s="157" t="s">
        <v>22</v>
      </c>
      <c r="F19" s="157">
        <v>0.04</v>
      </c>
      <c r="G19" s="174" t="s">
        <v>13</v>
      </c>
      <c r="H19" s="157" t="s">
        <v>23</v>
      </c>
      <c r="I19" s="157">
        <f>ROUND(C19*F19,2)</f>
        <v>43.44</v>
      </c>
      <c r="J19" s="174" t="s">
        <v>5</v>
      </c>
      <c r="K19" s="53"/>
      <c r="L19" s="53"/>
      <c r="M19" s="53"/>
      <c r="N19" s="148"/>
      <c r="O19" s="148"/>
      <c r="P19" s="149"/>
    </row>
    <row r="20" spans="1:16" ht="15" x14ac:dyDescent="0.25">
      <c r="A20" s="164"/>
      <c r="B20" s="157"/>
      <c r="C20" s="157"/>
      <c r="D20" s="174"/>
      <c r="E20" s="157"/>
      <c r="F20" s="157"/>
      <c r="G20" s="174"/>
      <c r="H20" s="157"/>
      <c r="I20" s="157"/>
      <c r="J20" s="174"/>
      <c r="K20" s="157"/>
      <c r="L20" s="157"/>
      <c r="M20" s="174"/>
      <c r="N20" s="148"/>
      <c r="O20" s="148"/>
      <c r="P20" s="149"/>
    </row>
    <row r="21" spans="1:16" ht="15" x14ac:dyDescent="0.25">
      <c r="A21" s="164"/>
      <c r="B21" s="150" t="s">
        <v>30</v>
      </c>
      <c r="C21" s="151">
        <f>I19</f>
        <v>43.44</v>
      </c>
      <c r="D21" s="152" t="s">
        <v>5</v>
      </c>
      <c r="E21" s="53"/>
      <c r="F21" s="157"/>
      <c r="G21" s="174"/>
      <c r="H21" s="157"/>
      <c r="I21" s="157"/>
      <c r="J21" s="174"/>
      <c r="K21" s="157"/>
      <c r="L21" s="157"/>
      <c r="M21" s="174"/>
      <c r="N21" s="148"/>
      <c r="O21" s="148"/>
      <c r="P21" s="149"/>
    </row>
    <row r="22" spans="1:16" ht="15" x14ac:dyDescent="0.25">
      <c r="A22" s="164"/>
      <c r="B22" s="157"/>
      <c r="C22" s="157"/>
      <c r="D22" s="174"/>
      <c r="E22" s="157"/>
      <c r="F22" s="157"/>
      <c r="G22" s="174"/>
      <c r="H22" s="157"/>
      <c r="I22" s="157"/>
      <c r="J22" s="174"/>
      <c r="K22" s="157"/>
      <c r="L22" s="157"/>
      <c r="M22" s="174"/>
      <c r="N22" s="148"/>
      <c r="O22" s="148"/>
      <c r="P22" s="149"/>
    </row>
    <row r="23" spans="1:16" s="622" customFormat="1" ht="36.75" customHeight="1" x14ac:dyDescent="0.25">
      <c r="A23" s="351" t="str">
        <f>ORÇAMENTO!A23</f>
        <v>3.2</v>
      </c>
      <c r="B23" s="1158" t="str">
        <f>ORÇAMENTO!D23</f>
        <v>LIMPEZA MECANIZADA DE CAMADA VEGETAL, VEGETAÇÃO E PEQUENAS ÁRVORES (DIÂMETRO DE TRONCO MENOR QUE 0,20 M), COM TRATOR DE ESTEIRAS.AF_05/2018</v>
      </c>
      <c r="C23" s="1158"/>
      <c r="D23" s="1158"/>
      <c r="E23" s="1158"/>
      <c r="F23" s="1158"/>
      <c r="G23" s="1158"/>
      <c r="H23" s="1158"/>
      <c r="I23" s="1158"/>
      <c r="J23" s="1158"/>
      <c r="K23" s="1158"/>
      <c r="L23" s="1158"/>
      <c r="M23" s="1158"/>
    </row>
    <row r="24" spans="1:16" x14ac:dyDescent="0.2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6"/>
    </row>
    <row r="25" spans="1:16" ht="15" x14ac:dyDescent="0.25">
      <c r="A25" s="53"/>
      <c r="B25" s="1157" t="s">
        <v>880</v>
      </c>
      <c r="C25" s="1157"/>
      <c r="D25" s="1157"/>
      <c r="E25" s="1157"/>
      <c r="F25" s="53"/>
      <c r="G25" s="53"/>
      <c r="H25" s="53"/>
      <c r="I25" s="53"/>
      <c r="J25" s="53"/>
      <c r="K25" s="53"/>
      <c r="L25" s="53"/>
      <c r="M25" s="56"/>
    </row>
    <row r="26" spans="1:16" x14ac:dyDescent="0.2">
      <c r="A26" s="53"/>
      <c r="B26" s="53" t="s">
        <v>319</v>
      </c>
      <c r="C26" s="53"/>
      <c r="D26" s="53"/>
      <c r="E26" s="56">
        <v>372.35</v>
      </c>
      <c r="F26" s="160" t="s">
        <v>4</v>
      </c>
      <c r="G26" s="53"/>
      <c r="H26" s="53"/>
      <c r="I26" s="53"/>
      <c r="J26" s="53"/>
      <c r="K26" s="53"/>
      <c r="L26" s="53"/>
      <c r="M26" s="56"/>
    </row>
    <row r="27" spans="1:16" x14ac:dyDescent="0.2">
      <c r="A27" s="53"/>
      <c r="B27" s="53" t="s">
        <v>320</v>
      </c>
      <c r="C27" s="53"/>
      <c r="D27" s="53"/>
      <c r="E27" s="56">
        <v>259.52</v>
      </c>
      <c r="F27" s="160" t="s">
        <v>4</v>
      </c>
      <c r="G27" s="53"/>
      <c r="H27" s="53"/>
      <c r="I27" s="53"/>
      <c r="J27" s="53"/>
      <c r="K27" s="53"/>
      <c r="L27" s="56"/>
      <c r="M27" s="53"/>
    </row>
    <row r="28" spans="1:16" x14ac:dyDescent="0.2">
      <c r="A28" s="53"/>
      <c r="B28" s="53" t="s">
        <v>321</v>
      </c>
      <c r="C28" s="53"/>
      <c r="D28" s="53"/>
      <c r="E28" s="56">
        <v>268.88</v>
      </c>
      <c r="F28" s="160" t="s">
        <v>4</v>
      </c>
      <c r="G28" s="53"/>
      <c r="H28" s="53"/>
      <c r="I28" s="53"/>
      <c r="J28" s="53"/>
      <c r="K28" s="53"/>
      <c r="L28" s="53"/>
      <c r="M28" s="53"/>
    </row>
    <row r="29" spans="1:16" x14ac:dyDescent="0.2">
      <c r="A29" s="53"/>
      <c r="B29" s="53" t="s">
        <v>322</v>
      </c>
      <c r="C29" s="53"/>
      <c r="D29" s="53"/>
      <c r="E29" s="56">
        <v>363.39</v>
      </c>
      <c r="F29" s="160" t="s">
        <v>4</v>
      </c>
      <c r="G29" s="53"/>
      <c r="H29" s="53"/>
      <c r="I29" s="53"/>
      <c r="J29" s="53"/>
      <c r="K29" s="53"/>
      <c r="L29" s="53"/>
      <c r="M29" s="56"/>
    </row>
    <row r="30" spans="1:16" x14ac:dyDescent="0.2">
      <c r="A30" s="53"/>
      <c r="B30" s="53" t="s">
        <v>323</v>
      </c>
      <c r="C30" s="53"/>
      <c r="D30" s="53"/>
      <c r="E30" s="56">
        <v>251.66</v>
      </c>
      <c r="F30" s="160" t="s">
        <v>4</v>
      </c>
      <c r="G30" s="53"/>
      <c r="H30" s="53"/>
      <c r="I30" s="53"/>
      <c r="J30" s="53"/>
      <c r="K30" s="53"/>
      <c r="L30" s="56"/>
      <c r="M30" s="53"/>
    </row>
    <row r="31" spans="1:16" x14ac:dyDescent="0.2">
      <c r="A31" s="53"/>
      <c r="B31" s="53" t="s">
        <v>324</v>
      </c>
      <c r="C31" s="53"/>
      <c r="D31" s="53"/>
      <c r="E31" s="56">
        <v>468.07</v>
      </c>
      <c r="F31" s="160" t="s">
        <v>4</v>
      </c>
      <c r="G31" s="53"/>
      <c r="H31" s="53"/>
      <c r="I31" s="53"/>
      <c r="J31" s="53"/>
      <c r="K31" s="53"/>
      <c r="L31" s="53"/>
      <c r="M31" s="53"/>
    </row>
    <row r="32" spans="1:16" x14ac:dyDescent="0.2">
      <c r="A32" s="53"/>
      <c r="B32" s="53" t="s">
        <v>325</v>
      </c>
      <c r="C32" s="53"/>
      <c r="D32" s="53"/>
      <c r="E32" s="58">
        <v>440.1</v>
      </c>
      <c r="F32" s="160" t="s">
        <v>4</v>
      </c>
      <c r="G32" s="53"/>
      <c r="H32" s="53"/>
      <c r="I32" s="53"/>
      <c r="J32" s="53"/>
      <c r="K32" s="53"/>
      <c r="L32" s="53"/>
      <c r="M32" s="53"/>
    </row>
    <row r="33" spans="1:13" x14ac:dyDescent="0.2">
      <c r="A33" s="53"/>
      <c r="B33" s="53" t="s">
        <v>326</v>
      </c>
      <c r="C33" s="53"/>
      <c r="D33" s="53"/>
      <c r="E33" s="56">
        <v>401.32</v>
      </c>
      <c r="F33" s="160" t="s">
        <v>4</v>
      </c>
      <c r="G33" s="53"/>
      <c r="H33" s="53"/>
      <c r="I33" s="53"/>
      <c r="J33" s="53"/>
      <c r="K33" s="53"/>
      <c r="L33" s="53"/>
      <c r="M33" s="53"/>
    </row>
    <row r="34" spans="1:13" x14ac:dyDescent="0.2">
      <c r="A34" s="53"/>
      <c r="B34" s="53" t="s">
        <v>327</v>
      </c>
      <c r="C34" s="53"/>
      <c r="D34" s="53"/>
      <c r="E34" s="58">
        <v>606.79999999999995</v>
      </c>
      <c r="F34" s="160" t="s">
        <v>4</v>
      </c>
      <c r="G34" s="53"/>
      <c r="H34" s="53"/>
      <c r="I34" s="53"/>
      <c r="J34" s="53"/>
      <c r="K34" s="53"/>
      <c r="L34" s="53"/>
      <c r="M34" s="53"/>
    </row>
    <row r="35" spans="1:13" ht="30.75" customHeight="1" x14ac:dyDescent="0.2">
      <c r="A35" s="53"/>
      <c r="B35" s="61" t="s">
        <v>328</v>
      </c>
      <c r="C35" s="53"/>
      <c r="D35" s="53"/>
      <c r="E35" s="306">
        <v>618.79</v>
      </c>
      <c r="F35" s="160" t="s">
        <v>4</v>
      </c>
      <c r="G35" s="1159"/>
      <c r="H35" s="1159"/>
      <c r="I35" s="61"/>
      <c r="J35" s="53"/>
      <c r="K35" s="61"/>
      <c r="L35" s="53"/>
      <c r="M35" s="61"/>
    </row>
    <row r="36" spans="1:13" x14ac:dyDescent="0.2">
      <c r="A36" s="53"/>
      <c r="B36" s="53" t="s">
        <v>329</v>
      </c>
      <c r="C36" s="53"/>
      <c r="D36" s="53"/>
      <c r="E36" s="56">
        <v>365.85</v>
      </c>
      <c r="F36" s="160" t="s">
        <v>4</v>
      </c>
      <c r="G36" s="466"/>
      <c r="H36" s="53"/>
      <c r="I36" s="53"/>
      <c r="J36" s="53"/>
      <c r="K36" s="61"/>
      <c r="L36" s="53"/>
      <c r="M36" s="61"/>
    </row>
    <row r="37" spans="1:13" x14ac:dyDescent="0.2">
      <c r="A37" s="53"/>
      <c r="B37" s="53" t="s">
        <v>330</v>
      </c>
      <c r="C37" s="53"/>
      <c r="D37" s="53"/>
      <c r="E37" s="56">
        <v>305.32</v>
      </c>
      <c r="F37" s="160" t="s">
        <v>4</v>
      </c>
      <c r="G37" s="466"/>
      <c r="H37" s="53"/>
      <c r="I37" s="53"/>
      <c r="J37" s="53"/>
      <c r="K37" s="53"/>
      <c r="L37" s="53"/>
      <c r="M37" s="53"/>
    </row>
    <row r="38" spans="1:13" x14ac:dyDescent="0.2">
      <c r="A38" s="53"/>
      <c r="B38" s="623" t="s">
        <v>331</v>
      </c>
      <c r="C38" s="623"/>
      <c r="D38" s="53"/>
      <c r="E38" s="56">
        <v>209.15</v>
      </c>
      <c r="F38" s="160" t="s">
        <v>4</v>
      </c>
      <c r="G38" s="53"/>
      <c r="H38" s="53"/>
      <c r="I38" s="53"/>
      <c r="J38" s="53"/>
      <c r="K38" s="53"/>
      <c r="L38" s="53"/>
      <c r="M38" s="53"/>
    </row>
    <row r="39" spans="1:13" x14ac:dyDescent="0.2">
      <c r="A39" s="53"/>
      <c r="B39" s="623" t="s">
        <v>332</v>
      </c>
      <c r="C39" s="623"/>
      <c r="D39" s="53"/>
      <c r="E39" s="56">
        <v>90.75</v>
      </c>
      <c r="F39" s="160" t="s">
        <v>4</v>
      </c>
      <c r="G39" s="53"/>
      <c r="H39" s="53"/>
      <c r="I39" s="53"/>
      <c r="J39" s="53"/>
      <c r="K39" s="53"/>
      <c r="L39" s="53"/>
      <c r="M39" s="53"/>
    </row>
    <row r="40" spans="1:13" x14ac:dyDescent="0.2">
      <c r="A40" s="53"/>
      <c r="B40" s="623" t="s">
        <v>333</v>
      </c>
      <c r="C40" s="623"/>
      <c r="D40" s="53"/>
      <c r="E40" s="56">
        <v>27.21</v>
      </c>
      <c r="F40" s="160" t="s">
        <v>4</v>
      </c>
      <c r="G40" s="53"/>
      <c r="H40" s="53"/>
      <c r="I40" s="53"/>
      <c r="J40" s="53"/>
      <c r="K40" s="53"/>
      <c r="L40" s="53"/>
      <c r="M40" s="53"/>
    </row>
    <row r="41" spans="1:13" x14ac:dyDescent="0.2">
      <c r="A41" s="53"/>
      <c r="B41" s="623" t="s">
        <v>334</v>
      </c>
      <c r="C41" s="623"/>
      <c r="D41" s="53"/>
      <c r="E41" s="56">
        <v>97.83</v>
      </c>
      <c r="F41" s="160" t="s">
        <v>4</v>
      </c>
      <c r="G41" s="53"/>
      <c r="H41" s="53"/>
      <c r="I41" s="53"/>
      <c r="J41" s="53"/>
      <c r="K41" s="53"/>
      <c r="L41" s="53"/>
      <c r="M41" s="53"/>
    </row>
    <row r="42" spans="1:13" x14ac:dyDescent="0.2">
      <c r="A42" s="53"/>
      <c r="B42" s="623" t="s">
        <v>335</v>
      </c>
      <c r="C42" s="623"/>
      <c r="D42" s="53"/>
      <c r="E42" s="56">
        <v>33.51</v>
      </c>
      <c r="F42" s="160" t="s">
        <v>4</v>
      </c>
      <c r="G42" s="53"/>
      <c r="H42" s="53"/>
      <c r="I42" s="53"/>
      <c r="J42" s="53"/>
      <c r="K42" s="53"/>
      <c r="L42" s="53"/>
      <c r="M42" s="53"/>
    </row>
    <row r="43" spans="1:13" x14ac:dyDescent="0.2">
      <c r="A43" s="53"/>
      <c r="B43" s="623" t="s">
        <v>336</v>
      </c>
      <c r="C43" s="623"/>
      <c r="D43" s="53"/>
      <c r="E43" s="56">
        <v>95.75</v>
      </c>
      <c r="F43" s="160" t="s">
        <v>4</v>
      </c>
      <c r="G43" s="53"/>
      <c r="H43" s="53"/>
      <c r="I43" s="53"/>
      <c r="J43" s="53"/>
      <c r="K43" s="53"/>
      <c r="L43" s="53"/>
      <c r="M43" s="53"/>
    </row>
    <row r="44" spans="1:13" x14ac:dyDescent="0.2">
      <c r="A44" s="53"/>
      <c r="B44" s="623" t="s">
        <v>337</v>
      </c>
      <c r="C44" s="623"/>
      <c r="D44" s="53"/>
      <c r="E44" s="56">
        <v>36.44</v>
      </c>
      <c r="F44" s="160" t="s">
        <v>4</v>
      </c>
      <c r="G44" s="53"/>
      <c r="H44" s="53"/>
      <c r="I44" s="53"/>
      <c r="J44" s="53"/>
      <c r="K44" s="53"/>
      <c r="L44" s="53"/>
      <c r="M44" s="53"/>
    </row>
    <row r="45" spans="1:13" x14ac:dyDescent="0.2">
      <c r="A45" s="53"/>
      <c r="B45" s="623" t="s">
        <v>338</v>
      </c>
      <c r="C45" s="623"/>
      <c r="D45" s="53"/>
      <c r="E45" s="56">
        <v>94.59</v>
      </c>
      <c r="F45" s="160" t="s">
        <v>4</v>
      </c>
      <c r="G45" s="53"/>
      <c r="H45" s="53"/>
      <c r="I45" s="53"/>
      <c r="J45" s="53"/>
      <c r="K45" s="53"/>
      <c r="L45" s="53"/>
      <c r="M45" s="53"/>
    </row>
    <row r="46" spans="1:13" x14ac:dyDescent="0.2">
      <c r="A46" s="53"/>
      <c r="B46" s="623" t="s">
        <v>339</v>
      </c>
      <c r="C46" s="623"/>
      <c r="D46" s="53"/>
      <c r="E46" s="56">
        <v>19.739999999999998</v>
      </c>
      <c r="F46" s="160" t="s">
        <v>4</v>
      </c>
      <c r="G46" s="53"/>
      <c r="H46" s="53"/>
      <c r="I46" s="53"/>
      <c r="J46" s="53"/>
      <c r="K46" s="53"/>
      <c r="L46" s="53"/>
      <c r="M46" s="53"/>
    </row>
    <row r="47" spans="1:13" x14ac:dyDescent="0.2">
      <c r="A47" s="53"/>
      <c r="B47" s="623" t="s">
        <v>340</v>
      </c>
      <c r="C47" s="623"/>
      <c r="D47" s="53"/>
      <c r="E47" s="56">
        <v>4.97</v>
      </c>
      <c r="F47" s="160" t="s">
        <v>4</v>
      </c>
      <c r="G47" s="53"/>
      <c r="H47" s="53"/>
      <c r="I47" s="53"/>
      <c r="J47" s="53"/>
      <c r="K47" s="53"/>
      <c r="L47" s="53"/>
      <c r="M47" s="53"/>
    </row>
    <row r="48" spans="1:13" ht="31.5" customHeight="1" x14ac:dyDescent="0.2">
      <c r="A48" s="53"/>
      <c r="B48" s="1156" t="s">
        <v>829</v>
      </c>
      <c r="C48" s="1156"/>
      <c r="D48" s="53"/>
      <c r="E48" s="306">
        <v>220.57</v>
      </c>
      <c r="F48" s="160" t="s">
        <v>4</v>
      </c>
      <c r="G48" s="53"/>
      <c r="H48" s="53"/>
      <c r="I48" s="53"/>
      <c r="J48" s="53"/>
      <c r="K48" s="53"/>
      <c r="L48" s="53"/>
      <c r="M48" s="53"/>
    </row>
    <row r="49" spans="1:13" x14ac:dyDescent="0.2">
      <c r="A49" s="53"/>
      <c r="B49" s="53"/>
      <c r="C49" s="53"/>
      <c r="D49" s="56" t="s">
        <v>881</v>
      </c>
      <c r="E49" s="53"/>
      <c r="F49" s="53"/>
      <c r="G49" s="53"/>
      <c r="H49" s="53"/>
      <c r="I49" s="53"/>
      <c r="J49" s="53"/>
      <c r="K49" s="53"/>
      <c r="L49" s="53"/>
      <c r="M49" s="53"/>
    </row>
    <row r="50" spans="1:13" x14ac:dyDescent="0.2">
      <c r="A50" s="53"/>
      <c r="B50" s="53" t="s">
        <v>825</v>
      </c>
      <c r="C50" s="53"/>
      <c r="D50" s="56" t="s">
        <v>826</v>
      </c>
      <c r="E50" s="53"/>
      <c r="F50" s="53"/>
      <c r="G50" s="53"/>
      <c r="H50" s="53"/>
      <c r="I50" s="53"/>
      <c r="J50" s="53"/>
      <c r="K50" s="53"/>
      <c r="L50" s="53"/>
      <c r="M50" s="53"/>
    </row>
    <row r="51" spans="1:13" x14ac:dyDescent="0.2">
      <c r="A51" s="53"/>
      <c r="B51" s="53"/>
      <c r="C51" s="56"/>
      <c r="D51" s="56" t="s">
        <v>23</v>
      </c>
      <c r="E51" s="56">
        <f>4.91*4</f>
        <v>19.64</v>
      </c>
      <c r="F51" s="160" t="s">
        <v>4</v>
      </c>
      <c r="G51" s="53"/>
      <c r="H51" s="53"/>
      <c r="I51" s="53"/>
      <c r="J51" s="53"/>
      <c r="K51" s="53"/>
      <c r="L51" s="53"/>
      <c r="M51" s="53"/>
    </row>
    <row r="52" spans="1:13" x14ac:dyDescent="0.2">
      <c r="A52" s="53"/>
      <c r="B52" s="53"/>
      <c r="C52" s="53"/>
      <c r="D52" s="56" t="s">
        <v>881</v>
      </c>
      <c r="E52" s="56"/>
      <c r="F52" s="53"/>
      <c r="G52" s="53"/>
      <c r="H52" s="53"/>
      <c r="I52" s="53"/>
      <c r="J52" s="53"/>
      <c r="K52" s="53"/>
      <c r="L52" s="53"/>
      <c r="M52" s="53"/>
    </row>
    <row r="53" spans="1:13" x14ac:dyDescent="0.2">
      <c r="A53" s="53"/>
      <c r="B53" s="53" t="s">
        <v>827</v>
      </c>
      <c r="C53" s="53"/>
      <c r="D53" s="56" t="s">
        <v>828</v>
      </c>
      <c r="E53" s="56"/>
      <c r="F53" s="53"/>
      <c r="G53" s="53"/>
      <c r="H53" s="53"/>
      <c r="I53" s="53"/>
      <c r="J53" s="53"/>
      <c r="K53" s="53"/>
      <c r="L53" s="53"/>
      <c r="M53" s="53"/>
    </row>
    <row r="54" spans="1:13" x14ac:dyDescent="0.2">
      <c r="A54" s="53"/>
      <c r="B54" s="53"/>
      <c r="C54" s="56"/>
      <c r="D54" s="56" t="s">
        <v>23</v>
      </c>
      <c r="E54" s="56">
        <f>11.09*3</f>
        <v>33.269999999999996</v>
      </c>
      <c r="F54" s="160" t="s">
        <v>4</v>
      </c>
      <c r="G54" s="53"/>
      <c r="H54" s="53"/>
      <c r="I54" s="53"/>
      <c r="J54" s="53"/>
      <c r="K54" s="53"/>
      <c r="L54" s="53"/>
      <c r="M54" s="53"/>
    </row>
    <row r="55" spans="1:13" x14ac:dyDescent="0.2">
      <c r="A55" s="53"/>
      <c r="B55" s="53" t="s">
        <v>830</v>
      </c>
      <c r="C55" s="53"/>
      <c r="D55" s="53"/>
      <c r="E55" s="56">
        <v>210.96</v>
      </c>
      <c r="F55" s="160" t="s">
        <v>4</v>
      </c>
      <c r="G55" s="53"/>
      <c r="H55" s="53"/>
      <c r="I55" s="53"/>
      <c r="J55" s="53"/>
      <c r="K55" s="53"/>
      <c r="L55" s="53"/>
      <c r="M55" s="53"/>
    </row>
    <row r="56" spans="1:13" x14ac:dyDescent="0.2">
      <c r="A56" s="53"/>
      <c r="B56" s="53" t="s">
        <v>831</v>
      </c>
      <c r="C56" s="53"/>
      <c r="D56" s="53"/>
      <c r="E56" s="56">
        <v>197.21</v>
      </c>
      <c r="F56" s="160" t="s">
        <v>4</v>
      </c>
      <c r="G56" s="53"/>
      <c r="H56" s="53"/>
      <c r="I56" s="53"/>
      <c r="J56" s="53"/>
      <c r="K56" s="53"/>
      <c r="L56" s="53"/>
      <c r="M56" s="53"/>
    </row>
    <row r="57" spans="1:13" x14ac:dyDescent="0.2">
      <c r="A57" s="53"/>
      <c r="B57" s="53" t="s">
        <v>832</v>
      </c>
      <c r="C57" s="53"/>
      <c r="D57" s="53"/>
      <c r="E57" s="56">
        <v>197.2</v>
      </c>
      <c r="F57" s="160" t="s">
        <v>4</v>
      </c>
      <c r="G57" s="53"/>
      <c r="H57" s="53"/>
      <c r="I57" s="53"/>
      <c r="J57" s="53"/>
      <c r="K57" s="53"/>
      <c r="L57" s="53"/>
      <c r="M57" s="53"/>
    </row>
    <row r="58" spans="1:13" x14ac:dyDescent="0.2">
      <c r="A58" s="53"/>
      <c r="B58" s="61" t="s">
        <v>833</v>
      </c>
      <c r="C58" s="53"/>
      <c r="D58" s="61"/>
      <c r="E58" s="306">
        <v>487.2</v>
      </c>
      <c r="F58" s="160" t="s">
        <v>4</v>
      </c>
      <c r="G58" s="53"/>
      <c r="H58" s="53"/>
      <c r="I58" s="53"/>
      <c r="J58" s="53"/>
      <c r="K58" s="53"/>
      <c r="L58" s="53"/>
      <c r="M58" s="53"/>
    </row>
    <row r="59" spans="1:13" x14ac:dyDescent="0.2">
      <c r="A59" s="53"/>
      <c r="B59" s="61" t="s">
        <v>834</v>
      </c>
      <c r="C59" s="53"/>
      <c r="D59" s="61"/>
      <c r="E59" s="306">
        <v>597.4</v>
      </c>
      <c r="F59" s="160" t="s">
        <v>4</v>
      </c>
      <c r="G59" s="53"/>
      <c r="H59" s="53"/>
      <c r="I59" s="53"/>
      <c r="J59" s="53"/>
      <c r="K59" s="53"/>
      <c r="L59" s="53"/>
      <c r="M59" s="53"/>
    </row>
    <row r="60" spans="1:13" x14ac:dyDescent="0.2">
      <c r="A60" s="53"/>
      <c r="B60" s="53" t="s">
        <v>835</v>
      </c>
      <c r="C60" s="53"/>
      <c r="D60" s="53"/>
      <c r="E60" s="56">
        <v>585.65</v>
      </c>
      <c r="F60" s="160" t="s">
        <v>4</v>
      </c>
      <c r="G60" s="53"/>
      <c r="H60" s="53"/>
      <c r="I60" s="53"/>
      <c r="J60" s="53"/>
      <c r="K60" s="53"/>
      <c r="L60" s="53"/>
      <c r="M60" s="53"/>
    </row>
    <row r="61" spans="1:13" x14ac:dyDescent="0.2">
      <c r="A61" s="53"/>
      <c r="B61" s="53" t="s">
        <v>836</v>
      </c>
      <c r="C61" s="53"/>
      <c r="D61" s="53"/>
      <c r="E61" s="56">
        <v>718.79</v>
      </c>
      <c r="F61" s="160" t="s">
        <v>4</v>
      </c>
      <c r="G61" s="53"/>
      <c r="H61" s="53"/>
      <c r="I61" s="53"/>
      <c r="J61" s="53"/>
      <c r="K61" s="53"/>
      <c r="L61" s="53"/>
      <c r="M61" s="53"/>
    </row>
    <row r="62" spans="1:13" x14ac:dyDescent="0.2">
      <c r="A62" s="53"/>
      <c r="B62" s="53" t="s">
        <v>877</v>
      </c>
      <c r="C62" s="53"/>
      <c r="D62" s="53"/>
      <c r="E62" s="56">
        <v>152.05000000000001</v>
      </c>
      <c r="F62" s="160" t="s">
        <v>4</v>
      </c>
      <c r="G62" s="53"/>
      <c r="H62" s="53"/>
      <c r="I62" s="53"/>
      <c r="J62" s="53"/>
      <c r="K62" s="53"/>
      <c r="L62" s="53"/>
      <c r="M62" s="53"/>
    </row>
    <row r="63" spans="1:13" x14ac:dyDescent="0.2">
      <c r="A63" s="53"/>
      <c r="B63" s="53" t="s">
        <v>878</v>
      </c>
      <c r="C63" s="53"/>
      <c r="D63" s="53"/>
      <c r="E63" s="56">
        <v>152.05000000000001</v>
      </c>
      <c r="F63" s="160" t="s">
        <v>4</v>
      </c>
      <c r="G63" s="53"/>
      <c r="H63" s="53"/>
      <c r="I63" s="53"/>
      <c r="J63" s="53"/>
      <c r="K63" s="53"/>
      <c r="L63" s="53"/>
      <c r="M63" s="53"/>
    </row>
    <row r="64" spans="1:13" x14ac:dyDescent="0.2">
      <c r="A64" s="53"/>
      <c r="B64" s="53" t="s">
        <v>879</v>
      </c>
      <c r="C64" s="53"/>
      <c r="D64" s="53"/>
      <c r="E64" s="56">
        <v>152.05000000000001</v>
      </c>
      <c r="F64" s="160" t="s">
        <v>4</v>
      </c>
      <c r="G64" s="53"/>
      <c r="H64" s="53"/>
      <c r="I64" s="53"/>
      <c r="J64" s="53"/>
      <c r="K64" s="53"/>
      <c r="L64" s="53"/>
      <c r="M64" s="53"/>
    </row>
    <row r="65" spans="1:16" x14ac:dyDescent="0.2">
      <c r="A65" s="53"/>
      <c r="B65" s="53"/>
      <c r="C65" s="53"/>
      <c r="D65" s="53"/>
      <c r="E65" s="53"/>
      <c r="F65" s="160"/>
      <c r="G65" s="53"/>
      <c r="H65" s="53"/>
      <c r="I65" s="53"/>
      <c r="J65" s="53"/>
      <c r="K65" s="53"/>
      <c r="L65" s="53"/>
      <c r="M65" s="53"/>
    </row>
    <row r="66" spans="1:16" x14ac:dyDescent="0.2">
      <c r="B66" s="624" t="s">
        <v>30</v>
      </c>
      <c r="C66" s="625">
        <f>ROUND(SUM(E26:E64),2)</f>
        <v>9156.0300000000007</v>
      </c>
      <c r="D66" s="626" t="s">
        <v>4</v>
      </c>
      <c r="E66" s="53"/>
      <c r="F66" s="160"/>
      <c r="G66" s="53"/>
      <c r="H66" s="53"/>
      <c r="I66" s="53"/>
      <c r="J66" s="53"/>
      <c r="K66" s="53"/>
      <c r="L66" s="53"/>
      <c r="M66" s="53"/>
    </row>
    <row r="67" spans="1:16" x14ac:dyDescent="0.2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  <row r="68" spans="1:16" ht="32.25" customHeight="1" x14ac:dyDescent="0.25">
      <c r="A68" s="164"/>
      <c r="B68" s="355"/>
      <c r="C68" s="1162" t="s">
        <v>1105</v>
      </c>
      <c r="D68" s="1162"/>
      <c r="E68" s="627"/>
      <c r="F68" s="1161" t="s">
        <v>1106</v>
      </c>
      <c r="G68" s="1161"/>
      <c r="H68" s="627"/>
      <c r="I68" s="629" t="s">
        <v>1107</v>
      </c>
      <c r="J68" s="355"/>
      <c r="K68" s="53"/>
      <c r="L68" s="53"/>
      <c r="M68" s="53"/>
      <c r="N68" s="146"/>
      <c r="O68" s="146"/>
      <c r="P68" s="147"/>
    </row>
    <row r="69" spans="1:16" ht="15" x14ac:dyDescent="0.25">
      <c r="A69" s="164"/>
      <c r="B69" s="157"/>
      <c r="C69" s="1162">
        <f>C66</f>
        <v>9156.0300000000007</v>
      </c>
      <c r="D69" s="1162"/>
      <c r="E69" s="628" t="s">
        <v>150</v>
      </c>
      <c r="F69" s="1160">
        <f>C19</f>
        <v>1085.9000000000001</v>
      </c>
      <c r="G69" s="1160"/>
      <c r="H69" s="628" t="s">
        <v>23</v>
      </c>
      <c r="I69" s="628">
        <f>ROUND(C69-F69,2)</f>
        <v>8070.13</v>
      </c>
      <c r="J69" s="174"/>
      <c r="K69" s="53"/>
      <c r="L69" s="53"/>
      <c r="M69" s="53"/>
      <c r="N69" s="148"/>
      <c r="O69" s="148"/>
      <c r="P69" s="149"/>
    </row>
    <row r="70" spans="1:16" ht="15" x14ac:dyDescent="0.25">
      <c r="A70" s="164"/>
      <c r="B70" s="157"/>
      <c r="C70" s="157"/>
      <c r="D70" s="174"/>
      <c r="E70" s="157"/>
      <c r="F70" s="157"/>
      <c r="G70" s="174"/>
      <c r="H70" s="157"/>
      <c r="I70" s="157"/>
      <c r="J70" s="174"/>
      <c r="K70" s="157"/>
      <c r="L70" s="157"/>
      <c r="M70" s="174"/>
      <c r="N70" s="148"/>
      <c r="O70" s="148"/>
      <c r="P70" s="149"/>
    </row>
    <row r="71" spans="1:16" ht="15" x14ac:dyDescent="0.25">
      <c r="A71" s="164"/>
      <c r="C71" s="150" t="s">
        <v>30</v>
      </c>
      <c r="D71" s="151">
        <f>I69</f>
        <v>8070.13</v>
      </c>
      <c r="E71" s="152" t="s">
        <v>5</v>
      </c>
      <c r="F71" s="157"/>
      <c r="G71" s="174"/>
      <c r="H71" s="157"/>
      <c r="I71" s="157"/>
      <c r="J71" s="174"/>
      <c r="K71" s="157"/>
      <c r="L71" s="157"/>
      <c r="M71" s="174"/>
      <c r="N71" s="148"/>
      <c r="O71" s="148"/>
      <c r="P71" s="149"/>
    </row>
    <row r="72" spans="1:16" ht="15" x14ac:dyDescent="0.25">
      <c r="A72" s="164"/>
      <c r="B72" s="157"/>
      <c r="C72" s="157"/>
      <c r="D72" s="174"/>
      <c r="E72" s="157"/>
      <c r="F72" s="157"/>
      <c r="G72" s="174"/>
      <c r="H72" s="157"/>
      <c r="I72" s="157"/>
      <c r="J72" s="174"/>
      <c r="K72" s="157"/>
      <c r="L72" s="157"/>
      <c r="M72" s="174"/>
      <c r="N72" s="148"/>
      <c r="O72" s="148"/>
      <c r="P72" s="149"/>
    </row>
    <row r="73" spans="1:16" ht="15" x14ac:dyDescent="0.25">
      <c r="A73" s="167" t="str">
        <f>ORÇAMENTO!A24</f>
        <v>3.3</v>
      </c>
      <c r="B73" s="172" t="str">
        <f>ORÇAMENTO!D24</f>
        <v>RETIRADA DE POSTE E INSTALAÇÕES</v>
      </c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</row>
    <row r="74" spans="1:16" ht="15" x14ac:dyDescent="0.25">
      <c r="A74" s="172"/>
      <c r="B74" s="17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</row>
    <row r="75" spans="1:16" x14ac:dyDescent="0.2">
      <c r="B75" s="150" t="s">
        <v>30</v>
      </c>
      <c r="C75" s="151">
        <v>6</v>
      </c>
      <c r="D75" s="152" t="s">
        <v>254</v>
      </c>
      <c r="E75" s="53"/>
      <c r="F75" s="53"/>
      <c r="G75" s="53"/>
      <c r="H75" s="53"/>
      <c r="I75" s="53"/>
      <c r="J75" s="53"/>
      <c r="K75" s="53"/>
      <c r="L75" s="53"/>
      <c r="M75" s="53"/>
    </row>
    <row r="76" spans="1:16" x14ac:dyDescent="0.2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</row>
    <row r="77" spans="1:16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</row>
    <row r="189" spans="4:4" ht="31.5" customHeight="1" x14ac:dyDescent="0.2">
      <c r="D189" s="801"/>
    </row>
  </sheetData>
  <mergeCells count="33">
    <mergeCell ref="F69:G69"/>
    <mergeCell ref="F68:G68"/>
    <mergeCell ref="C68:D68"/>
    <mergeCell ref="C69:D69"/>
    <mergeCell ref="A5:B5"/>
    <mergeCell ref="C5:M5"/>
    <mergeCell ref="A6:B6"/>
    <mergeCell ref="C6:M6"/>
    <mergeCell ref="A7:B7"/>
    <mergeCell ref="C7:F7"/>
    <mergeCell ref="G7:H8"/>
    <mergeCell ref="I7:M7"/>
    <mergeCell ref="A8:B8"/>
    <mergeCell ref="C8:F8"/>
    <mergeCell ref="I8:M8"/>
    <mergeCell ref="A9:B9"/>
    <mergeCell ref="A1:M1"/>
    <mergeCell ref="A4:B4"/>
    <mergeCell ref="C4:I4"/>
    <mergeCell ref="J4:K4"/>
    <mergeCell ref="L4:M4"/>
    <mergeCell ref="A2:M2"/>
    <mergeCell ref="A3:M3"/>
    <mergeCell ref="C9:F9"/>
    <mergeCell ref="G9:H9"/>
    <mergeCell ref="I9:M9"/>
    <mergeCell ref="B48:C48"/>
    <mergeCell ref="B25:E25"/>
    <mergeCell ref="A10:M10"/>
    <mergeCell ref="A11:M11"/>
    <mergeCell ref="B23:M23"/>
    <mergeCell ref="G35:H35"/>
    <mergeCell ref="A13:M13"/>
  </mergeCells>
  <pageMargins left="0.69" right="0.511811024" top="0.78740157499999996" bottom="0.51" header="0.31496062000000002" footer="0.12"/>
  <pageSetup paperSize="9" scale="62" orientation="portrait" r:id="rId1"/>
  <rowBreaks count="1" manualBreakCount="1">
    <brk id="75" max="1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W187"/>
  <sheetViews>
    <sheetView view="pageBreakPreview" topLeftCell="A101" zoomScale="55" zoomScaleNormal="100" zoomScaleSheetLayoutView="55" workbookViewId="0">
      <selection activeCell="P122" sqref="P122"/>
    </sheetView>
  </sheetViews>
  <sheetFormatPr defaultRowHeight="15" x14ac:dyDescent="0.25"/>
  <cols>
    <col min="1" max="1" width="10.28515625" customWidth="1"/>
    <col min="2" max="2" width="12" customWidth="1"/>
    <col min="3" max="3" width="8.85546875" customWidth="1"/>
    <col min="4" max="4" width="10" customWidth="1"/>
    <col min="6" max="6" width="11.28515625" customWidth="1"/>
    <col min="8" max="8" width="10" customWidth="1"/>
    <col min="9" max="9" width="11.28515625" customWidth="1"/>
    <col min="11" max="11" width="15.7109375" customWidth="1"/>
  </cols>
  <sheetData>
    <row r="1" spans="1:23" ht="90" customHeight="1" x14ac:dyDescent="0.25">
      <c r="A1" s="974" t="s">
        <v>1151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</row>
    <row r="2" spans="1:23" ht="21" customHeight="1" x14ac:dyDescent="0.25">
      <c r="A2" s="982" t="s">
        <v>1154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</row>
    <row r="3" spans="1:23" ht="15" customHeight="1" x14ac:dyDescent="0.25">
      <c r="A3" s="911" t="s">
        <v>1155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</row>
    <row r="4" spans="1:23" ht="33" customHeight="1" x14ac:dyDescent="0.25">
      <c r="A4" s="969" t="s">
        <v>33</v>
      </c>
      <c r="B4" s="970"/>
      <c r="C4" s="1109" t="str">
        <f>COMPOSIÇÕES!B4</f>
        <v>PREFEITURA MUNICIPAL DE BRASIL NOVO/PA</v>
      </c>
      <c r="D4" s="1110"/>
      <c r="E4" s="1110"/>
      <c r="F4" s="1110"/>
      <c r="G4" s="1121"/>
      <c r="H4" s="1128" t="s">
        <v>859</v>
      </c>
      <c r="I4" s="1129"/>
      <c r="J4" s="1126" t="str">
        <f>ORÇAMENTO!J4</f>
        <v>BRASIL NOVO/PA</v>
      </c>
      <c r="K4" s="1127"/>
      <c r="L4" s="1175"/>
      <c r="M4" s="1175"/>
    </row>
    <row r="5" spans="1:23" ht="21" customHeight="1" x14ac:dyDescent="0.25">
      <c r="A5" s="969" t="s">
        <v>860</v>
      </c>
      <c r="B5" s="970"/>
      <c r="C5" s="1109" t="str">
        <f>COMPOSIÇÕES!B5</f>
        <v>CONSTRUÇÃO DE PRAÇA NO MUNICÍPIO DE BRASIL NOVO - PARÁ</v>
      </c>
      <c r="D5" s="1110"/>
      <c r="E5" s="1110"/>
      <c r="F5" s="1110"/>
      <c r="G5" s="1110"/>
      <c r="H5" s="1110"/>
      <c r="I5" s="1110"/>
      <c r="J5" s="1110"/>
      <c r="K5" s="1110"/>
      <c r="L5" s="371"/>
      <c r="M5" s="371"/>
    </row>
    <row r="6" spans="1:23" ht="20.25" customHeight="1" x14ac:dyDescent="0.25">
      <c r="A6" s="969" t="s">
        <v>861</v>
      </c>
      <c r="B6" s="970"/>
      <c r="C6" s="976" t="str">
        <f>ORÇAMENTO!B6</f>
        <v>AVENIDA TRANSAMAZÔNICA S/N, BRASIL NOVO/PA</v>
      </c>
      <c r="D6" s="977"/>
      <c r="E6" s="977"/>
      <c r="F6" s="977"/>
      <c r="G6" s="977"/>
      <c r="H6" s="977"/>
      <c r="I6" s="977"/>
      <c r="J6" s="977"/>
      <c r="K6" s="977"/>
      <c r="L6" s="426"/>
      <c r="M6" s="426"/>
    </row>
    <row r="7" spans="1:23" ht="29.25" customHeight="1" x14ac:dyDescent="0.25">
      <c r="A7" s="980" t="s">
        <v>80</v>
      </c>
      <c r="B7" s="981"/>
      <c r="C7" s="1153">
        <f>ORÇAMENTO!B7</f>
        <v>0.29769428939090381</v>
      </c>
      <c r="D7" s="1154"/>
      <c r="E7" s="1154"/>
      <c r="F7" s="1155"/>
      <c r="G7" s="1150" t="s">
        <v>34</v>
      </c>
      <c r="H7" s="1151"/>
      <c r="I7" s="1112" t="str">
        <f>ORÇAMENTO!H7</f>
        <v>SINAPI FEVEREIRO 2022 - DESONERADA</v>
      </c>
      <c r="J7" s="1113"/>
      <c r="K7" s="1113"/>
      <c r="L7" s="427"/>
      <c r="M7" s="427"/>
    </row>
    <row r="8" spans="1:23" ht="27.75" customHeight="1" x14ac:dyDescent="0.25">
      <c r="A8" s="969" t="s">
        <v>863</v>
      </c>
      <c r="B8" s="970"/>
      <c r="C8" s="965" t="str">
        <f>ORÇAMENTO!B8</f>
        <v>06 meses</v>
      </c>
      <c r="D8" s="965"/>
      <c r="E8" s="965"/>
      <c r="F8" s="965"/>
      <c r="G8" s="1118"/>
      <c r="H8" s="1119"/>
      <c r="I8" s="1114" t="str">
        <f>ORÇAMENTO!H8</f>
        <v>SEDOP FEVEREIRO 2022 - DESONERADA</v>
      </c>
      <c r="J8" s="1115"/>
      <c r="K8" s="1115"/>
      <c r="L8" s="427"/>
      <c r="M8" s="427"/>
    </row>
    <row r="9" spans="1:23" x14ac:dyDescent="0.25">
      <c r="A9" s="969" t="s">
        <v>865</v>
      </c>
      <c r="B9" s="970"/>
      <c r="C9" s="1124">
        <f>ORÇAMENTO!B9</f>
        <v>1202969.1098858207</v>
      </c>
      <c r="D9" s="1146"/>
      <c r="E9" s="1146"/>
      <c r="F9" s="1125"/>
      <c r="G9" s="1103" t="s">
        <v>864</v>
      </c>
      <c r="H9" s="1104"/>
      <c r="I9" s="1101">
        <f>ORÇAMENTO!H9</f>
        <v>44749</v>
      </c>
      <c r="J9" s="1102"/>
      <c r="K9" s="1102"/>
      <c r="L9" s="428"/>
      <c r="M9" s="428"/>
    </row>
    <row r="10" spans="1:23" ht="12" customHeight="1" thickBot="1" x14ac:dyDescent="0.3">
      <c r="A10" s="1173"/>
      <c r="B10" s="1174"/>
      <c r="C10" s="1174"/>
      <c r="D10" s="1174"/>
      <c r="E10" s="1174"/>
      <c r="F10" s="1174"/>
      <c r="G10" s="1174"/>
      <c r="H10" s="1174"/>
      <c r="I10" s="1174"/>
      <c r="J10" s="1174"/>
      <c r="K10" s="1174"/>
      <c r="L10" s="371"/>
      <c r="M10" s="371"/>
    </row>
    <row r="11" spans="1:23" ht="15.75" customHeight="1" thickBot="1" x14ac:dyDescent="0.3">
      <c r="A11" s="1140" t="s">
        <v>870</v>
      </c>
      <c r="B11" s="1141"/>
      <c r="C11" s="1141"/>
      <c r="D11" s="1141"/>
      <c r="E11" s="1141"/>
      <c r="F11" s="1141"/>
      <c r="G11" s="1141"/>
      <c r="H11" s="1141"/>
      <c r="I11" s="1141"/>
      <c r="J11" s="1141"/>
      <c r="K11" s="1141"/>
      <c r="L11" s="477"/>
      <c r="M11" s="477"/>
      <c r="N11" s="6"/>
    </row>
    <row r="12" spans="1:23" ht="9" customHeight="1" thickBot="1" x14ac:dyDescent="0.3">
      <c r="A12" s="612" t="s">
        <v>1046</v>
      </c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78"/>
      <c r="M12" s="478"/>
      <c r="N12" s="6"/>
    </row>
    <row r="13" spans="1:23" ht="15.75" customHeight="1" thickBot="1" x14ac:dyDescent="0.3">
      <c r="A13" s="1172" t="str">
        <f>ORÇAMENTO!D25</f>
        <v xml:space="preserve">PAVIMENTAÇÃO </v>
      </c>
      <c r="B13" s="1136"/>
      <c r="C13" s="1136"/>
      <c r="D13" s="1136"/>
      <c r="E13" s="1136"/>
      <c r="F13" s="1136"/>
      <c r="G13" s="1136"/>
      <c r="H13" s="1136"/>
      <c r="I13" s="1136"/>
      <c r="J13" s="1136"/>
      <c r="K13" s="1136"/>
      <c r="L13" s="479"/>
      <c r="M13" s="479"/>
      <c r="N13" s="6"/>
    </row>
    <row r="14" spans="1:23" x14ac:dyDescent="0.25">
      <c r="A14" s="71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</row>
    <row r="15" spans="1:23" x14ac:dyDescent="0.25">
      <c r="A15" s="163">
        <f>ORÇAMENTO!A25</f>
        <v>4</v>
      </c>
      <c r="B15" s="355" t="s">
        <v>66</v>
      </c>
      <c r="C15" s="164"/>
      <c r="D15" s="355"/>
      <c r="E15" s="164"/>
      <c r="F15" s="164"/>
      <c r="G15" s="355"/>
      <c r="H15" s="164"/>
      <c r="I15" s="164"/>
      <c r="J15" s="355"/>
      <c r="K15" s="164"/>
      <c r="L15" s="2"/>
      <c r="M15" s="4"/>
      <c r="N15" s="2"/>
      <c r="O15" s="2"/>
      <c r="P15" s="4"/>
      <c r="Q15" s="2"/>
      <c r="R15" s="2"/>
      <c r="S15" s="2"/>
      <c r="T15" s="2"/>
      <c r="U15" s="2"/>
      <c r="V15" s="2"/>
      <c r="W15" s="2"/>
    </row>
    <row r="16" spans="1:23" ht="13.5" customHeight="1" x14ac:dyDescent="0.25">
      <c r="A16" s="163" t="str">
        <f>ORÇAMENTO!A26</f>
        <v>4.1</v>
      </c>
      <c r="B16" s="355" t="str">
        <f>ORÇAMENTO!D26</f>
        <v>CALÇADAS: PISO EM CONCRETO</v>
      </c>
      <c r="C16" s="164"/>
      <c r="D16" s="355"/>
      <c r="E16" s="164"/>
      <c r="F16" s="164"/>
      <c r="G16" s="355"/>
      <c r="H16" s="164"/>
      <c r="I16" s="164"/>
      <c r="J16" s="355"/>
      <c r="K16" s="164"/>
      <c r="L16" s="2"/>
      <c r="M16" s="4"/>
      <c r="N16" s="2"/>
      <c r="O16" s="2"/>
      <c r="P16" s="4"/>
      <c r="Q16" s="2"/>
      <c r="R16" s="2"/>
      <c r="S16" s="2"/>
      <c r="T16" s="2"/>
      <c r="U16" s="2"/>
      <c r="V16" s="2"/>
      <c r="W16" s="2"/>
    </row>
    <row r="17" spans="1:23" s="643" customFormat="1" ht="51" customHeight="1" x14ac:dyDescent="0.25">
      <c r="A17" s="154" t="str">
        <f>ORÇAMENTO!A27</f>
        <v>4.1.1</v>
      </c>
      <c r="B17" s="1130" t="str">
        <f>ORÇAMENTO!D27</f>
        <v>EXECUÇÃO DE PASSEIO OU PISO DE CONCRETO, MOLDADO IN LOCO, FEITO EM OBRA, ACABAMENTO COM PINTURA EM TINTA ACRÍLICA (COLORIDO) PARA PISOS (2 DEMÃOS), ESPESSURA 6 CM - JUNTA DE DILATAÇÃO PLÁSTICA - FORNECIMENTO E EXECUÇÃO</v>
      </c>
      <c r="C17" s="1130"/>
      <c r="D17" s="1130"/>
      <c r="E17" s="1130"/>
      <c r="F17" s="1130"/>
      <c r="G17" s="1130"/>
      <c r="H17" s="1130"/>
      <c r="I17" s="1130"/>
      <c r="J17" s="1130"/>
      <c r="K17" s="1130"/>
      <c r="L17" s="538"/>
      <c r="M17" s="538"/>
      <c r="N17" s="538"/>
      <c r="O17" s="538"/>
      <c r="P17" s="538"/>
      <c r="Q17" s="538"/>
      <c r="R17" s="538"/>
      <c r="S17" s="538"/>
      <c r="T17" s="538"/>
      <c r="U17" s="538"/>
      <c r="V17" s="538"/>
      <c r="W17" s="538"/>
    </row>
    <row r="18" spans="1:23" x14ac:dyDescent="0.25">
      <c r="A18" s="164"/>
      <c r="B18" s="164"/>
      <c r="C18" s="158"/>
      <c r="D18" s="157"/>
      <c r="E18" s="157" t="s">
        <v>90</v>
      </c>
      <c r="F18" s="174"/>
      <c r="G18" s="157"/>
      <c r="H18" s="157"/>
      <c r="I18" s="174"/>
      <c r="J18" s="157"/>
      <c r="K18" s="157"/>
      <c r="L18" s="1"/>
      <c r="M18" s="4"/>
      <c r="N18" s="2"/>
      <c r="O18" s="2"/>
      <c r="P18" s="4"/>
      <c r="Q18" s="2"/>
      <c r="R18" s="2"/>
      <c r="S18" s="2"/>
      <c r="T18" s="2"/>
      <c r="U18" s="2"/>
      <c r="V18" s="2"/>
      <c r="W18" s="2"/>
    </row>
    <row r="19" spans="1:23" x14ac:dyDescent="0.25">
      <c r="A19" s="164"/>
      <c r="B19" s="159" t="s">
        <v>157</v>
      </c>
      <c r="C19" s="159"/>
      <c r="D19" s="157" t="s">
        <v>23</v>
      </c>
      <c r="E19" s="160">
        <v>259.52</v>
      </c>
      <c r="F19" s="160" t="s">
        <v>4</v>
      </c>
      <c r="G19" s="160"/>
      <c r="H19" s="157"/>
      <c r="I19" s="174"/>
      <c r="J19" s="157"/>
      <c r="K19" s="164"/>
      <c r="L19" s="1"/>
      <c r="M19" s="1"/>
      <c r="N19" s="1"/>
      <c r="O19" s="1"/>
      <c r="P19" s="3"/>
      <c r="Q19" s="1"/>
      <c r="R19" s="1"/>
      <c r="S19" s="1"/>
      <c r="T19" s="1"/>
      <c r="U19" s="1"/>
      <c r="V19" s="1"/>
      <c r="W19" s="1"/>
    </row>
    <row r="20" spans="1:23" x14ac:dyDescent="0.25">
      <c r="A20" s="164"/>
      <c r="B20" s="159" t="s">
        <v>158</v>
      </c>
      <c r="C20" s="156"/>
      <c r="D20" s="157" t="s">
        <v>23</v>
      </c>
      <c r="E20" s="160">
        <v>268.88</v>
      </c>
      <c r="F20" s="160" t="s">
        <v>4</v>
      </c>
      <c r="G20" s="160"/>
      <c r="H20" s="157"/>
      <c r="I20" s="174"/>
      <c r="J20" s="157"/>
      <c r="K20" s="164"/>
      <c r="L20" s="1"/>
      <c r="M20" s="1"/>
      <c r="N20" s="1"/>
      <c r="O20" s="1"/>
      <c r="P20" s="3"/>
      <c r="Q20" s="1"/>
      <c r="R20" s="1"/>
      <c r="S20" s="1"/>
      <c r="T20" s="1"/>
      <c r="U20" s="1"/>
      <c r="V20" s="1"/>
      <c r="W20" s="1"/>
    </row>
    <row r="21" spans="1:23" x14ac:dyDescent="0.25">
      <c r="A21" s="164"/>
      <c r="B21" s="159" t="s">
        <v>159</v>
      </c>
      <c r="C21" s="156"/>
      <c r="D21" s="157" t="s">
        <v>23</v>
      </c>
      <c r="E21" s="160">
        <v>363.39</v>
      </c>
      <c r="F21" s="160" t="s">
        <v>4</v>
      </c>
      <c r="G21" s="160"/>
      <c r="H21" s="157"/>
      <c r="I21" s="174"/>
      <c r="J21" s="157"/>
      <c r="K21" s="164"/>
      <c r="L21" s="1"/>
      <c r="M21" s="1"/>
      <c r="N21" s="1"/>
      <c r="O21" s="1"/>
      <c r="P21" s="3"/>
      <c r="Q21" s="1"/>
      <c r="R21" s="1"/>
      <c r="S21" s="1"/>
      <c r="T21" s="1"/>
      <c r="U21" s="1"/>
      <c r="V21" s="1"/>
      <c r="W21" s="1"/>
    </row>
    <row r="22" spans="1:23" x14ac:dyDescent="0.25">
      <c r="A22" s="164"/>
      <c r="B22" s="159" t="s">
        <v>160</v>
      </c>
      <c r="C22" s="156"/>
      <c r="D22" s="157" t="s">
        <v>23</v>
      </c>
      <c r="E22" s="160">
        <v>251.66</v>
      </c>
      <c r="F22" s="160" t="s">
        <v>4</v>
      </c>
      <c r="G22" s="160"/>
      <c r="H22" s="157"/>
      <c r="I22" s="174"/>
      <c r="J22" s="157"/>
      <c r="K22" s="164"/>
      <c r="L22" s="1"/>
      <c r="M22" s="1"/>
      <c r="N22" s="1"/>
      <c r="O22" s="1"/>
      <c r="P22" s="3"/>
      <c r="Q22" s="1"/>
      <c r="R22" s="1"/>
      <c r="S22" s="1"/>
      <c r="T22" s="1"/>
      <c r="U22" s="1"/>
      <c r="V22" s="1"/>
      <c r="W22" s="1"/>
    </row>
    <row r="23" spans="1:23" x14ac:dyDescent="0.25">
      <c r="A23" s="164"/>
      <c r="B23" s="159" t="s">
        <v>161</v>
      </c>
      <c r="C23" s="156"/>
      <c r="D23" s="157" t="s">
        <v>23</v>
      </c>
      <c r="E23" s="160">
        <v>468.07</v>
      </c>
      <c r="F23" s="160" t="s">
        <v>4</v>
      </c>
      <c r="G23" s="160"/>
      <c r="H23" s="157"/>
      <c r="I23" s="174"/>
      <c r="J23" s="157"/>
      <c r="K23" s="164"/>
      <c r="L23" s="1"/>
      <c r="M23" s="1"/>
      <c r="N23" s="1"/>
      <c r="O23" s="1"/>
      <c r="P23" s="3"/>
      <c r="Q23" s="1"/>
      <c r="R23" s="1"/>
      <c r="S23" s="1"/>
      <c r="T23" s="1"/>
      <c r="U23" s="1"/>
      <c r="V23" s="1"/>
      <c r="W23" s="1"/>
    </row>
    <row r="24" spans="1:23" x14ac:dyDescent="0.25">
      <c r="A24" s="164"/>
      <c r="B24" s="159" t="s">
        <v>162</v>
      </c>
      <c r="C24" s="156"/>
      <c r="D24" s="157" t="s">
        <v>23</v>
      </c>
      <c r="E24" s="160">
        <v>440.1</v>
      </c>
      <c r="F24" s="160" t="s">
        <v>4</v>
      </c>
      <c r="G24" s="160"/>
      <c r="H24" s="157"/>
      <c r="I24" s="174"/>
      <c r="J24" s="157"/>
      <c r="K24" s="164"/>
      <c r="L24" s="1"/>
      <c r="M24" s="1"/>
      <c r="N24" s="1"/>
      <c r="O24" s="1"/>
      <c r="P24" s="3"/>
      <c r="Q24" s="1"/>
      <c r="R24" s="1"/>
      <c r="S24" s="1"/>
      <c r="T24" s="1"/>
      <c r="U24" s="1"/>
      <c r="V24" s="1"/>
      <c r="W24" s="1"/>
    </row>
    <row r="25" spans="1:23" x14ac:dyDescent="0.25">
      <c r="A25" s="164"/>
      <c r="B25" s="159" t="s">
        <v>163</v>
      </c>
      <c r="C25" s="156"/>
      <c r="D25" s="157" t="s">
        <v>23</v>
      </c>
      <c r="E25" s="160">
        <v>401.32</v>
      </c>
      <c r="F25" s="160" t="s">
        <v>4</v>
      </c>
      <c r="G25" s="160"/>
      <c r="H25" s="157"/>
      <c r="I25" s="174"/>
      <c r="J25" s="157"/>
      <c r="K25" s="164"/>
      <c r="L25" s="1"/>
      <c r="M25" s="1"/>
      <c r="N25" s="1"/>
      <c r="O25" s="1"/>
      <c r="P25" s="3"/>
      <c r="Q25" s="1"/>
      <c r="R25" s="1"/>
      <c r="S25" s="1"/>
      <c r="T25" s="1"/>
      <c r="U25" s="1"/>
      <c r="V25" s="1"/>
      <c r="W25" s="1"/>
    </row>
    <row r="26" spans="1:23" x14ac:dyDescent="0.25">
      <c r="A26" s="164"/>
      <c r="B26" s="159" t="s">
        <v>164</v>
      </c>
      <c r="C26" s="156"/>
      <c r="D26" s="157" t="s">
        <v>23</v>
      </c>
      <c r="E26" s="160">
        <v>606.79999999999995</v>
      </c>
      <c r="F26" s="160" t="s">
        <v>4</v>
      </c>
      <c r="G26" s="160"/>
      <c r="H26" s="157"/>
      <c r="I26" s="174"/>
      <c r="J26" s="157"/>
      <c r="K26" s="164"/>
      <c r="L26" s="1"/>
      <c r="M26" s="1"/>
      <c r="N26" s="1"/>
      <c r="O26" s="1"/>
      <c r="P26" s="3"/>
      <c r="Q26" s="1"/>
      <c r="R26" s="1"/>
      <c r="S26" s="1"/>
      <c r="T26" s="1"/>
      <c r="U26" s="1"/>
      <c r="V26" s="1"/>
      <c r="W26" s="1"/>
    </row>
    <row r="27" spans="1:23" x14ac:dyDescent="0.25">
      <c r="A27" s="164"/>
      <c r="B27" s="159" t="s">
        <v>165</v>
      </c>
      <c r="C27" s="156"/>
      <c r="D27" s="157" t="s">
        <v>23</v>
      </c>
      <c r="E27" s="160">
        <v>618.79</v>
      </c>
      <c r="F27" s="160" t="s">
        <v>4</v>
      </c>
      <c r="G27" s="160"/>
      <c r="H27" s="157"/>
      <c r="I27" s="174"/>
      <c r="J27" s="157"/>
      <c r="K27" s="164"/>
      <c r="L27" s="1"/>
      <c r="M27" s="1"/>
      <c r="N27" s="1"/>
      <c r="O27" s="1"/>
      <c r="P27" s="3"/>
      <c r="Q27" s="1"/>
      <c r="R27" s="1"/>
      <c r="S27" s="1"/>
      <c r="T27" s="1"/>
      <c r="U27" s="1"/>
      <c r="V27" s="1"/>
      <c r="W27" s="1"/>
    </row>
    <row r="28" spans="1:23" x14ac:dyDescent="0.25">
      <c r="A28" s="164"/>
      <c r="B28" s="159" t="s">
        <v>166</v>
      </c>
      <c r="C28" s="156"/>
      <c r="D28" s="157" t="s">
        <v>23</v>
      </c>
      <c r="E28" s="160">
        <v>365.85</v>
      </c>
      <c r="F28" s="160" t="s">
        <v>4</v>
      </c>
      <c r="G28" s="160"/>
      <c r="H28" s="157"/>
      <c r="I28" s="174"/>
      <c r="J28" s="157"/>
      <c r="K28" s="164"/>
      <c r="L28" s="1"/>
      <c r="M28" s="1"/>
      <c r="N28" s="1"/>
      <c r="O28" s="1"/>
      <c r="P28" s="3"/>
      <c r="Q28" s="1"/>
      <c r="R28" s="1"/>
      <c r="S28" s="1"/>
      <c r="T28" s="1"/>
      <c r="U28" s="1"/>
      <c r="V28" s="1"/>
      <c r="W28" s="1"/>
    </row>
    <row r="29" spans="1:23" x14ac:dyDescent="0.25">
      <c r="A29" s="164"/>
      <c r="B29" s="159" t="s">
        <v>167</v>
      </c>
      <c r="C29" s="156"/>
      <c r="D29" s="157" t="s">
        <v>23</v>
      </c>
      <c r="E29" s="160">
        <v>305.32</v>
      </c>
      <c r="F29" s="160" t="s">
        <v>4</v>
      </c>
      <c r="G29" s="160"/>
      <c r="H29" s="157"/>
      <c r="I29" s="174"/>
      <c r="J29" s="157"/>
      <c r="K29" s="164"/>
      <c r="L29" s="1"/>
      <c r="M29" s="1"/>
      <c r="N29" s="1"/>
      <c r="O29" s="1"/>
      <c r="P29" s="3"/>
      <c r="Q29" s="1"/>
      <c r="R29" s="1"/>
      <c r="S29" s="1"/>
      <c r="T29" s="1"/>
      <c r="U29" s="1"/>
      <c r="V29" s="1"/>
      <c r="W29" s="1"/>
    </row>
    <row r="30" spans="1:23" x14ac:dyDescent="0.25">
      <c r="A30" s="164"/>
      <c r="B30" s="159" t="s">
        <v>168</v>
      </c>
      <c r="C30" s="156"/>
      <c r="D30" s="157" t="s">
        <v>23</v>
      </c>
      <c r="E30" s="160">
        <v>209.15</v>
      </c>
      <c r="F30" s="160" t="s">
        <v>4</v>
      </c>
      <c r="G30" s="162"/>
      <c r="H30" s="162"/>
      <c r="I30" s="162"/>
      <c r="J30" s="162"/>
      <c r="K30" s="162"/>
      <c r="L30" s="1"/>
      <c r="M30" s="1"/>
      <c r="N30" s="1"/>
      <c r="O30" s="1"/>
      <c r="P30" s="3"/>
      <c r="Q30" s="1"/>
      <c r="R30" s="1"/>
      <c r="S30" s="1"/>
      <c r="T30" s="1"/>
      <c r="U30" s="1"/>
      <c r="V30" s="1"/>
      <c r="W30" s="1"/>
    </row>
    <row r="31" spans="1:23" x14ac:dyDescent="0.25">
      <c r="A31" s="164"/>
      <c r="B31" s="157"/>
      <c r="C31" s="157"/>
      <c r="D31" s="174"/>
      <c r="E31" s="157"/>
      <c r="F31" s="157"/>
      <c r="G31" s="174"/>
      <c r="H31" s="157"/>
      <c r="I31" s="157"/>
      <c r="J31" s="174"/>
      <c r="K31" s="157"/>
      <c r="L31" s="2"/>
      <c r="M31" s="4"/>
      <c r="N31" s="2"/>
      <c r="O31" s="2"/>
      <c r="P31" s="4"/>
      <c r="Q31" s="2"/>
      <c r="R31" s="2"/>
      <c r="S31" s="2"/>
      <c r="T31" s="2"/>
      <c r="U31" s="2"/>
      <c r="V31" s="2"/>
      <c r="W31" s="2"/>
    </row>
    <row r="32" spans="1:23" x14ac:dyDescent="0.25">
      <c r="A32" s="164"/>
      <c r="B32" s="157"/>
      <c r="C32" s="157" t="s">
        <v>361</v>
      </c>
      <c r="D32" s="174"/>
      <c r="E32" s="157" t="s">
        <v>269</v>
      </c>
      <c r="F32" s="157"/>
      <c r="G32" s="174"/>
      <c r="H32" s="157"/>
      <c r="I32" s="157"/>
      <c r="J32" s="174"/>
      <c r="K32" s="157"/>
      <c r="L32" s="2"/>
      <c r="M32" s="4"/>
      <c r="N32" s="2"/>
      <c r="O32" s="2"/>
      <c r="P32" s="4"/>
      <c r="Q32" s="2"/>
      <c r="R32" s="2"/>
      <c r="S32" s="2"/>
      <c r="T32" s="2"/>
      <c r="U32" s="2"/>
      <c r="V32" s="2"/>
      <c r="W32" s="2"/>
    </row>
    <row r="33" spans="1:23" x14ac:dyDescent="0.25">
      <c r="A33" s="164"/>
      <c r="B33" s="157" t="s">
        <v>1108</v>
      </c>
      <c r="C33" s="157">
        <f>SUM(E19:E30)</f>
        <v>4558.8499999999995</v>
      </c>
      <c r="D33" s="157" t="s">
        <v>22</v>
      </c>
      <c r="E33" s="157">
        <v>0.06</v>
      </c>
      <c r="F33" s="157" t="s">
        <v>23</v>
      </c>
      <c r="G33" s="174">
        <f>ROUND(C33*E33,2)</f>
        <v>273.52999999999997</v>
      </c>
      <c r="H33" s="157"/>
      <c r="I33" s="157"/>
      <c r="J33" s="174"/>
      <c r="K33" s="157"/>
      <c r="L33" s="2"/>
      <c r="M33" s="4"/>
      <c r="N33" s="2"/>
      <c r="O33" s="2"/>
      <c r="P33" s="4"/>
      <c r="Q33" s="2"/>
      <c r="R33" s="2"/>
      <c r="S33" s="2"/>
      <c r="T33" s="2"/>
      <c r="U33" s="2"/>
      <c r="V33" s="2"/>
      <c r="W33" s="2"/>
    </row>
    <row r="34" spans="1:23" x14ac:dyDescent="0.25">
      <c r="A34" s="164"/>
      <c r="B34" s="157"/>
      <c r="C34" s="157"/>
      <c r="D34" s="174"/>
      <c r="E34" s="157"/>
      <c r="F34" s="157"/>
      <c r="G34" s="174"/>
      <c r="H34" s="157"/>
      <c r="I34" s="157"/>
      <c r="J34" s="174"/>
      <c r="K34" s="157"/>
      <c r="L34" s="2"/>
      <c r="M34" s="4"/>
      <c r="N34" s="2"/>
      <c r="O34" s="2"/>
      <c r="P34" s="4"/>
      <c r="Q34" s="2"/>
      <c r="R34" s="2"/>
      <c r="S34" s="2"/>
      <c r="T34" s="2"/>
      <c r="U34" s="2"/>
      <c r="V34" s="2"/>
      <c r="W34" s="2"/>
    </row>
    <row r="35" spans="1:23" x14ac:dyDescent="0.25">
      <c r="A35" s="164"/>
      <c r="B35" s="157"/>
      <c r="C35" s="480" t="s">
        <v>365</v>
      </c>
      <c r="D35" s="166">
        <f>G33</f>
        <v>273.52999999999997</v>
      </c>
      <c r="E35" s="481" t="s">
        <v>5</v>
      </c>
      <c r="F35" s="157"/>
      <c r="G35" s="174"/>
      <c r="H35" s="157"/>
      <c r="I35" s="157"/>
      <c r="J35" s="174"/>
      <c r="K35" s="57"/>
      <c r="L35" s="2"/>
      <c r="M35" s="4"/>
      <c r="N35" s="2"/>
      <c r="O35" s="2"/>
      <c r="P35" s="4"/>
      <c r="Q35" s="2"/>
      <c r="R35" s="2"/>
      <c r="S35" s="2"/>
      <c r="T35" s="2"/>
      <c r="U35" s="2"/>
      <c r="V35" s="2"/>
      <c r="W35" s="2"/>
    </row>
    <row r="36" spans="1:23" x14ac:dyDescent="0.25">
      <c r="A36" s="164"/>
      <c r="B36" s="157"/>
      <c r="C36" s="157"/>
      <c r="D36" s="157"/>
      <c r="E36" s="157"/>
      <c r="F36" s="157"/>
      <c r="G36" s="174"/>
      <c r="H36" s="157"/>
      <c r="I36" s="157"/>
      <c r="J36" s="174"/>
      <c r="K36" s="53"/>
    </row>
    <row r="37" spans="1:23" ht="30.75" customHeight="1" x14ac:dyDescent="0.25">
      <c r="A37" s="154" t="str">
        <f>ORÇAMENTO!A28</f>
        <v>4.1.2</v>
      </c>
      <c r="B37" s="1152" t="str">
        <f>ORÇAMENTO!D28</f>
        <v>EXECUÇÃO DE PASSEIO (CALÇADA) OU PISO DE CONCRETO COM CONCRETO MOLDADO IN LOCO, FEITO EM OBRA, ACABAMENTO CONVENCIONAL, NÃO ARMADO. AF_07/2016</v>
      </c>
      <c r="C37" s="1152"/>
      <c r="D37" s="1152"/>
      <c r="E37" s="1152"/>
      <c r="F37" s="1152"/>
      <c r="G37" s="1152"/>
      <c r="H37" s="1152"/>
      <c r="I37" s="1152"/>
      <c r="J37" s="1152"/>
      <c r="K37" s="1152"/>
    </row>
    <row r="38" spans="1:23" x14ac:dyDescent="0.25">
      <c r="A38" s="164"/>
      <c r="B38" s="157"/>
      <c r="C38" s="157"/>
      <c r="D38" s="157"/>
      <c r="E38" s="157"/>
      <c r="F38" s="157"/>
      <c r="G38" s="174"/>
      <c r="H38" s="157"/>
      <c r="I38" s="157"/>
      <c r="J38" s="174"/>
      <c r="K38" s="53"/>
    </row>
    <row r="39" spans="1:23" ht="14.25" customHeight="1" x14ac:dyDescent="0.25">
      <c r="A39" s="164"/>
      <c r="B39" s="157" t="s">
        <v>351</v>
      </c>
      <c r="C39" s="157">
        <v>90.75</v>
      </c>
      <c r="D39" s="160" t="s">
        <v>4</v>
      </c>
      <c r="E39" s="1165" t="s">
        <v>882</v>
      </c>
      <c r="F39" s="1165"/>
      <c r="G39" s="1165"/>
      <c r="H39" s="1165"/>
      <c r="I39" s="1165"/>
      <c r="J39" s="157">
        <f>4.91*4</f>
        <v>19.64</v>
      </c>
      <c r="K39" s="160" t="s">
        <v>4</v>
      </c>
    </row>
    <row r="40" spans="1:23" ht="14.25" customHeight="1" x14ac:dyDescent="0.25">
      <c r="A40" s="164"/>
      <c r="B40" s="157" t="s">
        <v>352</v>
      </c>
      <c r="C40" s="157">
        <v>27.21</v>
      </c>
      <c r="D40" s="160" t="s">
        <v>4</v>
      </c>
      <c r="E40" s="1165" t="s">
        <v>883</v>
      </c>
      <c r="F40" s="1165"/>
      <c r="G40" s="1165"/>
      <c r="H40" s="1165"/>
      <c r="I40" s="1165"/>
      <c r="J40" s="157">
        <f>11.09*3</f>
        <v>33.269999999999996</v>
      </c>
      <c r="K40" s="160" t="s">
        <v>4</v>
      </c>
    </row>
    <row r="41" spans="1:23" ht="14.25" customHeight="1" x14ac:dyDescent="0.25">
      <c r="A41" s="164"/>
      <c r="B41" s="157" t="s">
        <v>353</v>
      </c>
      <c r="C41" s="352">
        <v>97.83</v>
      </c>
      <c r="D41" s="160" t="s">
        <v>4</v>
      </c>
      <c r="E41" s="160"/>
      <c r="F41" s="160"/>
      <c r="G41" s="174"/>
      <c r="H41" s="157"/>
      <c r="I41" s="157"/>
      <c r="J41" s="174"/>
      <c r="K41" s="53"/>
    </row>
    <row r="42" spans="1:23" ht="16.5" customHeight="1" x14ac:dyDescent="0.25">
      <c r="A42" s="164"/>
      <c r="B42" s="157" t="s">
        <v>354</v>
      </c>
      <c r="C42" s="352">
        <v>33.51</v>
      </c>
      <c r="D42" s="160" t="s">
        <v>4</v>
      </c>
      <c r="E42" s="160"/>
      <c r="F42" s="160"/>
      <c r="G42" s="174"/>
      <c r="H42" s="157"/>
      <c r="I42" s="157"/>
      <c r="J42" s="174"/>
      <c r="K42" s="53"/>
    </row>
    <row r="43" spans="1:23" x14ac:dyDescent="0.25">
      <c r="A43" s="164"/>
      <c r="B43" s="157" t="s">
        <v>355</v>
      </c>
      <c r="C43" s="157">
        <v>95.75</v>
      </c>
      <c r="D43" s="160" t="s">
        <v>4</v>
      </c>
      <c r="E43" s="157"/>
      <c r="F43" s="157"/>
      <c r="G43" s="174"/>
      <c r="H43" s="157"/>
      <c r="I43" s="157"/>
      <c r="J43" s="174"/>
      <c r="K43" s="53"/>
    </row>
    <row r="44" spans="1:23" x14ac:dyDescent="0.25">
      <c r="A44" s="164"/>
      <c r="B44" s="157" t="s">
        <v>356</v>
      </c>
      <c r="C44" s="157">
        <v>36.44</v>
      </c>
      <c r="D44" s="160" t="s">
        <v>4</v>
      </c>
      <c r="E44" s="174"/>
      <c r="F44" s="157"/>
      <c r="G44" s="174"/>
      <c r="H44" s="157"/>
      <c r="I44" s="157"/>
      <c r="J44" s="174"/>
      <c r="K44" s="53"/>
    </row>
    <row r="45" spans="1:23" x14ac:dyDescent="0.25">
      <c r="A45" s="164"/>
      <c r="B45" s="157" t="s">
        <v>357</v>
      </c>
      <c r="C45" s="157">
        <v>94.59</v>
      </c>
      <c r="D45" s="160" t="s">
        <v>4</v>
      </c>
      <c r="E45" s="174"/>
      <c r="F45" s="157"/>
      <c r="G45" s="174"/>
      <c r="H45" s="157"/>
      <c r="I45" s="157"/>
      <c r="J45" s="174"/>
      <c r="K45" s="53"/>
    </row>
    <row r="46" spans="1:23" x14ac:dyDescent="0.25">
      <c r="A46" s="164"/>
      <c r="B46" s="157" t="s">
        <v>358</v>
      </c>
      <c r="C46" s="157">
        <v>19.739999999999998</v>
      </c>
      <c r="D46" s="160" t="s">
        <v>4</v>
      </c>
      <c r="E46" s="174"/>
      <c r="F46" s="157"/>
      <c r="G46" s="174"/>
      <c r="H46" s="157"/>
      <c r="I46" s="157"/>
      <c r="J46" s="174"/>
      <c r="K46" s="53"/>
    </row>
    <row r="47" spans="1:23" x14ac:dyDescent="0.25">
      <c r="A47" s="164"/>
      <c r="B47" s="157" t="s">
        <v>359</v>
      </c>
      <c r="C47" s="157">
        <v>4.97</v>
      </c>
      <c r="D47" s="160" t="s">
        <v>4</v>
      </c>
      <c r="E47" s="174"/>
      <c r="F47" s="157"/>
      <c r="G47" s="174"/>
      <c r="H47" s="157"/>
      <c r="I47" s="157"/>
      <c r="J47" s="174"/>
      <c r="K47" s="53"/>
    </row>
    <row r="48" spans="1:23" ht="18.75" customHeight="1" x14ac:dyDescent="0.25">
      <c r="A48" s="1166" t="s">
        <v>774</v>
      </c>
      <c r="B48" s="1166"/>
      <c r="C48" s="160">
        <v>141.19999999999999</v>
      </c>
      <c r="D48" s="160" t="s">
        <v>4</v>
      </c>
      <c r="E48" s="174"/>
      <c r="F48" s="157"/>
      <c r="G48" s="174"/>
      <c r="H48" s="157"/>
      <c r="I48" s="157"/>
      <c r="J48" s="174"/>
      <c r="K48" s="53"/>
    </row>
    <row r="49" spans="1:11" x14ac:dyDescent="0.25">
      <c r="A49" s="164"/>
      <c r="B49" s="157"/>
      <c r="C49" s="157"/>
      <c r="D49" s="157"/>
      <c r="E49" s="174"/>
      <c r="F49" s="157"/>
      <c r="G49" s="174"/>
      <c r="H49" s="157"/>
      <c r="I49" s="161"/>
      <c r="J49" s="161"/>
      <c r="K49" s="53"/>
    </row>
    <row r="50" spans="1:11" x14ac:dyDescent="0.25">
      <c r="A50" s="164"/>
      <c r="B50" s="157"/>
      <c r="C50" s="157" t="s">
        <v>361</v>
      </c>
      <c r="D50" s="174"/>
      <c r="E50" s="157" t="s">
        <v>269</v>
      </c>
      <c r="F50" s="157"/>
      <c r="G50" s="174"/>
      <c r="H50" s="157"/>
      <c r="I50" s="157"/>
      <c r="J50" s="174"/>
      <c r="K50" s="53"/>
    </row>
    <row r="51" spans="1:11" x14ac:dyDescent="0.25">
      <c r="A51" s="164"/>
      <c r="B51" s="157" t="s">
        <v>360</v>
      </c>
      <c r="C51" s="157">
        <f>SUM(C39:C48)+SUM(J39:J40)</f>
        <v>694.9</v>
      </c>
      <c r="D51" s="157" t="s">
        <v>22</v>
      </c>
      <c r="E51" s="157">
        <v>0.06</v>
      </c>
      <c r="F51" s="157" t="s">
        <v>23</v>
      </c>
      <c r="G51" s="174">
        <f>ROUND(C51*E51,2)</f>
        <v>41.69</v>
      </c>
      <c r="H51" s="157"/>
      <c r="I51" s="157"/>
      <c r="J51" s="174"/>
      <c r="K51" s="53"/>
    </row>
    <row r="52" spans="1:11" x14ac:dyDescent="0.25">
      <c r="A52" s="164"/>
      <c r="B52" s="157"/>
      <c r="C52" s="157"/>
      <c r="D52" s="174"/>
      <c r="E52" s="157"/>
      <c r="F52" s="157"/>
      <c r="G52" s="174"/>
      <c r="H52" s="157"/>
      <c r="I52" s="157"/>
      <c r="J52" s="174"/>
      <c r="K52" s="53"/>
    </row>
    <row r="53" spans="1:11" x14ac:dyDescent="0.25">
      <c r="A53" s="164"/>
      <c r="B53" s="157"/>
      <c r="C53" s="480" t="s">
        <v>365</v>
      </c>
      <c r="D53" s="166">
        <f>G51</f>
        <v>41.69</v>
      </c>
      <c r="E53" s="481" t="s">
        <v>5</v>
      </c>
      <c r="F53" s="157"/>
      <c r="G53" s="174"/>
      <c r="H53" s="157"/>
      <c r="I53" s="157"/>
      <c r="J53" s="174"/>
      <c r="K53" s="53"/>
    </row>
    <row r="54" spans="1:11" x14ac:dyDescent="0.25">
      <c r="A54" s="157"/>
      <c r="B54" s="157"/>
      <c r="C54" s="157"/>
      <c r="D54" s="157"/>
      <c r="E54" s="157"/>
      <c r="F54" s="157"/>
      <c r="G54" s="174"/>
      <c r="H54" s="157"/>
      <c r="I54" s="157"/>
      <c r="J54" s="174"/>
      <c r="K54" s="53"/>
    </row>
    <row r="55" spans="1:11" x14ac:dyDescent="0.25">
      <c r="A55" s="163" t="str">
        <f>ORÇAMENTO!A29</f>
        <v>4.2</v>
      </c>
      <c r="B55" s="355" t="str">
        <f>ORÇAMENTO!D29</f>
        <v>ESTACIONAMENTO: PISO INTERTRAVADO E SINALIZAÇÃO</v>
      </c>
      <c r="C55" s="164"/>
      <c r="D55" s="355"/>
      <c r="E55" s="164"/>
      <c r="F55" s="164"/>
      <c r="G55" s="355"/>
      <c r="H55" s="164"/>
      <c r="I55" s="164"/>
      <c r="J55" s="355"/>
      <c r="K55" s="164"/>
    </row>
    <row r="56" spans="1:11" ht="39" customHeight="1" x14ac:dyDescent="0.25">
      <c r="A56" s="154" t="str">
        <f>ORÇAMENTO!A30</f>
        <v>4.2.1</v>
      </c>
      <c r="B56" s="1152" t="str">
        <f>ORÇAMENTO!D30</f>
        <v>REGULARIZAÇÃO E COMPACTAÇÃO DE SUBLEITO DE SOLO  PREDOMINANTEMENTE ARGILOSO. AF_11/2019</v>
      </c>
      <c r="C56" s="1152"/>
      <c r="D56" s="1152"/>
      <c r="E56" s="1152"/>
      <c r="F56" s="1152"/>
      <c r="G56" s="1152"/>
      <c r="H56" s="1152"/>
      <c r="I56" s="1152"/>
      <c r="J56" s="1152"/>
      <c r="K56" s="1152"/>
    </row>
    <row r="57" spans="1:1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</row>
    <row r="58" spans="1:11" x14ac:dyDescent="0.25">
      <c r="A58" s="6"/>
      <c r="B58" s="1157" t="s">
        <v>894</v>
      </c>
      <c r="C58" s="1157"/>
      <c r="D58" s="1157"/>
      <c r="E58" s="1157"/>
      <c r="F58" s="6"/>
      <c r="G58" s="172"/>
      <c r="H58" s="6"/>
      <c r="I58" s="6"/>
      <c r="J58" s="6"/>
      <c r="K58" s="6"/>
    </row>
    <row r="59" spans="1:11" x14ac:dyDescent="0.25">
      <c r="A59" s="6"/>
      <c r="B59" s="53" t="s">
        <v>877</v>
      </c>
      <c r="C59" s="53"/>
      <c r="D59" s="53"/>
      <c r="E59" s="56">
        <v>152.05000000000001</v>
      </c>
      <c r="F59" s="160" t="s">
        <v>4</v>
      </c>
      <c r="G59" s="172"/>
      <c r="H59" s="6"/>
      <c r="I59" s="6"/>
      <c r="J59" s="6"/>
      <c r="K59" s="6"/>
    </row>
    <row r="60" spans="1:11" x14ac:dyDescent="0.25">
      <c r="A60" s="6"/>
      <c r="B60" s="53" t="s">
        <v>878</v>
      </c>
      <c r="C60" s="53"/>
      <c r="D60" s="53"/>
      <c r="E60" s="56">
        <v>152.05000000000001</v>
      </c>
      <c r="F60" s="160" t="s">
        <v>4</v>
      </c>
      <c r="G60" s="172"/>
      <c r="H60" s="6"/>
      <c r="I60" s="6"/>
      <c r="J60" s="6"/>
      <c r="K60" s="6"/>
    </row>
    <row r="61" spans="1:11" x14ac:dyDescent="0.25">
      <c r="A61" s="6"/>
      <c r="B61" s="53" t="s">
        <v>879</v>
      </c>
      <c r="C61" s="53"/>
      <c r="D61" s="53"/>
      <c r="E61" s="56">
        <v>152.05000000000001</v>
      </c>
      <c r="F61" s="160" t="s">
        <v>4</v>
      </c>
      <c r="G61" s="172"/>
      <c r="H61" s="6"/>
      <c r="I61" s="6"/>
      <c r="J61" s="6"/>
      <c r="K61" s="6"/>
    </row>
    <row r="62" spans="1:11" x14ac:dyDescent="0.25">
      <c r="A62" s="6"/>
      <c r="B62" s="53"/>
      <c r="C62" s="53"/>
      <c r="D62" s="53"/>
      <c r="E62" s="56"/>
      <c r="F62" s="160"/>
      <c r="G62" s="172"/>
      <c r="H62" s="6"/>
      <c r="I62" s="6"/>
      <c r="J62" s="6"/>
      <c r="K62" s="6"/>
    </row>
    <row r="63" spans="1:11" x14ac:dyDescent="0.25">
      <c r="A63" s="6"/>
      <c r="B63" s="53"/>
      <c r="C63" s="480" t="s">
        <v>895</v>
      </c>
      <c r="D63" s="166">
        <f>SUM(E59:E61)</f>
        <v>456.15000000000003</v>
      </c>
      <c r="E63" s="481" t="s">
        <v>4</v>
      </c>
      <c r="F63" s="160"/>
      <c r="G63" s="172"/>
      <c r="H63" s="6"/>
      <c r="I63" s="6"/>
      <c r="J63" s="6"/>
      <c r="K63" s="6"/>
    </row>
    <row r="64" spans="1:11" x14ac:dyDescent="0.25">
      <c r="A64" s="163"/>
      <c r="B64" s="355"/>
      <c r="C64" s="164"/>
      <c r="D64" s="355"/>
      <c r="E64" s="164"/>
      <c r="F64" s="164"/>
      <c r="G64" s="355"/>
      <c r="H64" s="164"/>
      <c r="I64" s="164"/>
      <c r="J64" s="355"/>
      <c r="K64" s="164"/>
    </row>
    <row r="65" spans="1:11" ht="30.75" customHeight="1" x14ac:dyDescent="0.25">
      <c r="A65" s="154" t="str">
        <f>ORÇAMENTO!A31</f>
        <v>4.2.2</v>
      </c>
      <c r="B65" s="1152" t="str">
        <f>ORÇAMENTO!D31</f>
        <v xml:space="preserve">EXECUÇÃO DE PÁTIO/ESTACIONAMENTO EM PISO INTERTRAVADO, COM BLOCO RETANGULAR COR NATURAL DE 20 X 10 CM, ESPESSURA 6 CM. AF_12/2015 </v>
      </c>
      <c r="C65" s="1152"/>
      <c r="D65" s="1152"/>
      <c r="E65" s="1152"/>
      <c r="F65" s="1152"/>
      <c r="G65" s="1152"/>
      <c r="H65" s="1152"/>
      <c r="I65" s="1152"/>
      <c r="J65" s="1152"/>
      <c r="K65" s="1152"/>
    </row>
    <row r="66" spans="1:1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</row>
    <row r="67" spans="1:11" x14ac:dyDescent="0.25">
      <c r="A67" s="6"/>
      <c r="B67" s="1157" t="s">
        <v>894</v>
      </c>
      <c r="C67" s="1157"/>
      <c r="D67" s="1157"/>
      <c r="E67" s="1157"/>
      <c r="F67" s="6"/>
      <c r="G67" s="172"/>
      <c r="H67" s="6"/>
      <c r="I67" s="6"/>
      <c r="J67" s="6"/>
      <c r="K67" s="6"/>
    </row>
    <row r="68" spans="1:11" x14ac:dyDescent="0.25">
      <c r="A68" s="6"/>
      <c r="B68" s="53" t="s">
        <v>877</v>
      </c>
      <c r="C68" s="53"/>
      <c r="D68" s="53"/>
      <c r="E68" s="56">
        <v>152.05000000000001</v>
      </c>
      <c r="F68" s="160" t="s">
        <v>4</v>
      </c>
      <c r="G68" s="172"/>
      <c r="H68" s="6"/>
      <c r="I68" s="6"/>
      <c r="J68" s="6"/>
      <c r="K68" s="6"/>
    </row>
    <row r="69" spans="1:11" x14ac:dyDescent="0.25">
      <c r="A69" s="6"/>
      <c r="B69" s="53" t="s">
        <v>878</v>
      </c>
      <c r="C69" s="53"/>
      <c r="D69" s="53"/>
      <c r="E69" s="56">
        <v>152.05000000000001</v>
      </c>
      <c r="F69" s="160" t="s">
        <v>4</v>
      </c>
      <c r="G69" s="172"/>
      <c r="H69" s="6"/>
      <c r="I69" s="6"/>
      <c r="J69" s="6"/>
      <c r="K69" s="6"/>
    </row>
    <row r="70" spans="1:11" x14ac:dyDescent="0.25">
      <c r="A70" s="6"/>
      <c r="B70" s="53" t="s">
        <v>879</v>
      </c>
      <c r="C70" s="53"/>
      <c r="D70" s="53"/>
      <c r="E70" s="56">
        <v>152.05000000000001</v>
      </c>
      <c r="F70" s="160" t="s">
        <v>4</v>
      </c>
      <c r="G70" s="172"/>
      <c r="H70" s="6"/>
      <c r="I70" s="6"/>
      <c r="J70" s="6"/>
      <c r="K70" s="6"/>
    </row>
    <row r="71" spans="1:11" x14ac:dyDescent="0.25">
      <c r="A71" s="6"/>
      <c r="B71" s="53"/>
      <c r="C71" s="53"/>
      <c r="D71" s="53"/>
      <c r="E71" s="56"/>
      <c r="F71" s="160"/>
      <c r="G71" s="172"/>
      <c r="H71" s="6"/>
      <c r="I71" s="6"/>
      <c r="J71" s="6"/>
      <c r="K71" s="6"/>
    </row>
    <row r="72" spans="1:11" x14ac:dyDescent="0.25">
      <c r="A72" s="6"/>
      <c r="B72" s="53"/>
      <c r="C72" s="480" t="s">
        <v>895</v>
      </c>
      <c r="D72" s="166">
        <f>SUM(E68:E70)</f>
        <v>456.15000000000003</v>
      </c>
      <c r="E72" s="481" t="s">
        <v>4</v>
      </c>
      <c r="F72" s="160"/>
      <c r="G72" s="172"/>
      <c r="H72" s="6"/>
      <c r="I72" s="6"/>
      <c r="J72" s="6"/>
      <c r="K72" s="6"/>
    </row>
    <row r="73" spans="1:1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</row>
    <row r="74" spans="1:11" ht="34.5" customHeight="1" x14ac:dyDescent="0.25">
      <c r="A74" s="154" t="str">
        <f>ORÇAMENTO!A32</f>
        <v>4.2.3</v>
      </c>
      <c r="B74" s="1130" t="str">
        <f>ORÇAMENTO!D32</f>
        <v>PINTURA DE DEMARCAÇÃO DE VAGA COM TINTA ACRÍLICA, E = 10 CM, APLICAÇÃO MANUAL. AF_05/2021</v>
      </c>
      <c r="C74" s="1130"/>
      <c r="D74" s="1130"/>
      <c r="E74" s="1130"/>
      <c r="F74" s="1130"/>
      <c r="G74" s="1130"/>
      <c r="H74" s="1130"/>
      <c r="I74" s="1130"/>
      <c r="J74" s="1130"/>
      <c r="K74" s="1130"/>
    </row>
    <row r="75" spans="1:1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</row>
    <row r="76" spans="1:11" x14ac:dyDescent="0.25">
      <c r="A76" s="6"/>
      <c r="B76" s="528"/>
      <c r="C76" s="1179" t="s">
        <v>915</v>
      </c>
      <c r="D76" s="1180"/>
      <c r="E76" s="1176" t="s">
        <v>106</v>
      </c>
      <c r="F76" s="1176"/>
      <c r="G76" s="537"/>
      <c r="H76" s="6"/>
      <c r="I76" s="6"/>
      <c r="J76" s="6"/>
      <c r="K76" s="6"/>
    </row>
    <row r="77" spans="1:11" ht="25.5" customHeight="1" x14ac:dyDescent="0.25">
      <c r="A77" s="1177" t="s">
        <v>905</v>
      </c>
      <c r="B77" s="1178"/>
      <c r="C77" s="1181" t="s">
        <v>921</v>
      </c>
      <c r="D77" s="1182"/>
      <c r="E77" s="1176">
        <f>6*7</f>
        <v>42</v>
      </c>
      <c r="F77" s="1176"/>
      <c r="G77" s="537"/>
      <c r="H77" s="6"/>
      <c r="I77" s="6"/>
      <c r="J77" s="6"/>
      <c r="K77" s="6"/>
    </row>
    <row r="78" spans="1:11" ht="25.5" customHeight="1" x14ac:dyDescent="0.25">
      <c r="A78" s="1177" t="s">
        <v>906</v>
      </c>
      <c r="B78" s="1178"/>
      <c r="C78" s="1181" t="s">
        <v>922</v>
      </c>
      <c r="D78" s="1182"/>
      <c r="E78" s="1176">
        <f t="shared" ref="E78:E79" si="0">6*7</f>
        <v>42</v>
      </c>
      <c r="F78" s="1176"/>
      <c r="G78" s="537"/>
      <c r="H78" s="6"/>
      <c r="I78" s="6"/>
      <c r="J78" s="6"/>
      <c r="K78" s="6"/>
    </row>
    <row r="79" spans="1:11" ht="25.5" customHeight="1" x14ac:dyDescent="0.25">
      <c r="A79" s="1177" t="s">
        <v>907</v>
      </c>
      <c r="B79" s="1178"/>
      <c r="C79" s="1181" t="s">
        <v>923</v>
      </c>
      <c r="D79" s="1182"/>
      <c r="E79" s="1176">
        <f t="shared" si="0"/>
        <v>42</v>
      </c>
      <c r="F79" s="1176"/>
      <c r="G79" s="537"/>
      <c r="H79" s="6"/>
      <c r="I79" s="6"/>
      <c r="J79" s="6"/>
      <c r="K79" s="6"/>
    </row>
    <row r="80" spans="1:11" ht="15.75" thickBot="1" x14ac:dyDescent="0.3">
      <c r="A80" s="6"/>
      <c r="B80" s="529"/>
      <c r="C80" s="530"/>
      <c r="D80" s="530"/>
      <c r="E80" s="6"/>
      <c r="F80" s="6"/>
      <c r="G80" s="6"/>
      <c r="H80" s="6"/>
      <c r="I80" s="6"/>
      <c r="J80" s="6"/>
      <c r="K80" s="6"/>
    </row>
    <row r="81" spans="1:11" ht="26.25" thickBot="1" x14ac:dyDescent="0.3">
      <c r="A81" s="6"/>
      <c r="B81" s="529"/>
      <c r="C81" s="531" t="s">
        <v>916</v>
      </c>
      <c r="D81" s="532">
        <f>ROUND(SUM(E77:E79),2)</f>
        <v>126</v>
      </c>
      <c r="E81" s="6"/>
      <c r="F81" s="6"/>
      <c r="G81" s="6"/>
      <c r="H81" s="6"/>
      <c r="I81" s="6"/>
      <c r="J81" s="6"/>
      <c r="K81" s="6"/>
    </row>
    <row r="82" spans="1:1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</row>
    <row r="83" spans="1:11" ht="33.75" customHeight="1" x14ac:dyDescent="0.25">
      <c r="A83" s="154" t="str">
        <f>ORÇAMENTO!A33</f>
        <v>4.2.4</v>
      </c>
      <c r="B83" s="1130" t="str">
        <f>ORÇAMENTO!D33</f>
        <v>PINTURA DE DEMARCAÇÃO PARA VAGA PREFERENCIAL PARA IDOSO COM TINTA ACRÍLICA, APLICADA MANUALMENTE.</v>
      </c>
      <c r="C83" s="1130"/>
      <c r="D83" s="1130"/>
      <c r="E83" s="1130"/>
      <c r="F83" s="1130"/>
      <c r="G83" s="1130"/>
      <c r="H83" s="1130"/>
      <c r="I83" s="1130"/>
      <c r="J83" s="1130"/>
      <c r="K83" s="1130"/>
    </row>
    <row r="84" spans="1:1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</row>
    <row r="85" spans="1:11" ht="25.5" customHeight="1" x14ac:dyDescent="0.25">
      <c r="A85" s="6"/>
      <c r="B85" s="536" t="s">
        <v>915</v>
      </c>
      <c r="C85" s="1163" t="s">
        <v>270</v>
      </c>
      <c r="D85" s="1163"/>
      <c r="E85" s="6"/>
      <c r="F85" s="6"/>
      <c r="G85" s="6"/>
      <c r="H85" s="6"/>
      <c r="I85" s="6"/>
      <c r="J85" s="6"/>
      <c r="K85" s="6"/>
    </row>
    <row r="86" spans="1:11" x14ac:dyDescent="0.25">
      <c r="A86" s="6"/>
      <c r="B86" s="534" t="s">
        <v>919</v>
      </c>
      <c r="C86" s="1164">
        <v>1</v>
      </c>
      <c r="D86" s="1164"/>
      <c r="E86" s="6"/>
      <c r="F86" s="6"/>
      <c r="G86" s="6"/>
      <c r="H86" s="6"/>
      <c r="I86" s="6"/>
      <c r="J86" s="6"/>
      <c r="K86" s="6"/>
    </row>
    <row r="87" spans="1:11" ht="15.75" thickBot="1" x14ac:dyDescent="0.3">
      <c r="A87" s="6"/>
      <c r="B87" s="530"/>
      <c r="C87" s="530"/>
      <c r="D87" s="6"/>
      <c r="E87" s="6"/>
      <c r="F87" s="6"/>
      <c r="G87" s="6"/>
      <c r="H87" s="6"/>
      <c r="I87" s="6"/>
      <c r="J87" s="6"/>
      <c r="K87" s="6"/>
    </row>
    <row r="88" spans="1:11" ht="15.75" thickBot="1" x14ac:dyDescent="0.3">
      <c r="A88" s="6"/>
      <c r="B88" s="531" t="s">
        <v>918</v>
      </c>
      <c r="C88" s="532">
        <f>SUM(C86)</f>
        <v>1</v>
      </c>
      <c r="D88" s="6"/>
      <c r="E88" s="6"/>
      <c r="F88" s="6"/>
      <c r="G88" s="6"/>
      <c r="H88" s="6"/>
      <c r="I88" s="6"/>
      <c r="J88" s="6"/>
      <c r="K88" s="6"/>
    </row>
    <row r="89" spans="1:1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</row>
    <row r="90" spans="1:11" ht="34.5" customHeight="1" x14ac:dyDescent="0.25">
      <c r="A90" s="154" t="str">
        <f>ORÇAMENTO!A34</f>
        <v>4.2.5</v>
      </c>
      <c r="B90" s="1130" t="str">
        <f>ORÇAMENTO!D34</f>
        <v>PINTURA DE DEMARCAÇÃO PARA VAGA PREFERENCIAL PARA CADEIRANTE COM TINTA ACRÍLICA, APLICADA MANUALMENTE.</v>
      </c>
      <c r="C90" s="1130"/>
      <c r="D90" s="1130"/>
      <c r="E90" s="1130"/>
      <c r="F90" s="1130"/>
      <c r="G90" s="1130"/>
      <c r="H90" s="1130"/>
      <c r="I90" s="1130"/>
      <c r="J90" s="1130"/>
      <c r="K90" s="1130"/>
    </row>
    <row r="91" spans="1:1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</row>
    <row r="92" spans="1:11" x14ac:dyDescent="0.25">
      <c r="A92" s="6"/>
      <c r="B92" s="536" t="s">
        <v>915</v>
      </c>
      <c r="C92" s="1163" t="s">
        <v>270</v>
      </c>
      <c r="D92" s="1163"/>
      <c r="E92" s="6"/>
      <c r="F92" s="6"/>
      <c r="G92" s="6"/>
      <c r="H92" s="6"/>
      <c r="I92" s="6"/>
      <c r="J92" s="6"/>
      <c r="K92" s="6"/>
    </row>
    <row r="93" spans="1:11" x14ac:dyDescent="0.25">
      <c r="A93" s="6"/>
      <c r="B93" s="534" t="s">
        <v>920</v>
      </c>
      <c r="C93" s="1164">
        <v>1</v>
      </c>
      <c r="D93" s="1164"/>
      <c r="E93" s="6"/>
      <c r="F93" s="6"/>
      <c r="G93" s="6"/>
      <c r="H93" s="6"/>
      <c r="I93" s="6"/>
      <c r="J93" s="6"/>
      <c r="K93" s="6"/>
    </row>
    <row r="94" spans="1:11" ht="15.75" thickBot="1" x14ac:dyDescent="0.3">
      <c r="A94" s="6"/>
      <c r="B94" s="530"/>
      <c r="C94" s="530"/>
      <c r="D94" s="6"/>
      <c r="E94" s="6"/>
      <c r="F94" s="6"/>
      <c r="G94" s="6"/>
      <c r="H94" s="6"/>
      <c r="I94" s="6"/>
      <c r="J94" s="6"/>
      <c r="K94" s="6"/>
    </row>
    <row r="95" spans="1:11" ht="15.75" thickBot="1" x14ac:dyDescent="0.3">
      <c r="A95" s="6"/>
      <c r="B95" s="531" t="s">
        <v>918</v>
      </c>
      <c r="C95" s="532">
        <f>SUM(C93)</f>
        <v>1</v>
      </c>
      <c r="D95" s="6"/>
      <c r="E95" s="6"/>
      <c r="F95" s="6"/>
      <c r="G95" s="6"/>
      <c r="H95" s="6"/>
      <c r="I95" s="6"/>
      <c r="J95" s="6"/>
      <c r="K95" s="6"/>
    </row>
    <row r="96" spans="1:1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</row>
    <row r="97" spans="1:11" ht="33.75" customHeight="1" x14ac:dyDescent="0.25">
      <c r="A97" s="154" t="str">
        <f>ORÇAMENTO!A35</f>
        <v>4.2.6</v>
      </c>
      <c r="B97" s="1152" t="str">
        <f>ORÇAMENTO!D35</f>
        <v>PLACA DE SINALIZACAO EM CHAPA DE ACO NUM 16 COM PINTURA REFLETIVA PARA SINALIZAÇÃO DE VAGAS PREFERENCIAIS, INCLUSO FUNDAÇÃO EM CONCRETO CICLÓPICO. FORNECIMENTO E INSTALAÇÃO.</v>
      </c>
      <c r="C97" s="1152"/>
      <c r="D97" s="1152"/>
      <c r="E97" s="1152"/>
      <c r="F97" s="1152"/>
      <c r="G97" s="1152"/>
      <c r="H97" s="1152"/>
      <c r="I97" s="1152"/>
      <c r="J97" s="1152"/>
      <c r="K97" s="1152"/>
    </row>
    <row r="98" spans="1:1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</row>
    <row r="99" spans="1:11" x14ac:dyDescent="0.25">
      <c r="A99" s="6"/>
      <c r="B99" s="536" t="s">
        <v>915</v>
      </c>
      <c r="C99" s="1163" t="s">
        <v>270</v>
      </c>
      <c r="D99" s="1163"/>
      <c r="E99" s="6"/>
      <c r="F99" s="6"/>
      <c r="G99" s="6"/>
      <c r="H99" s="6"/>
      <c r="I99" s="6"/>
      <c r="J99" s="6"/>
      <c r="K99" s="6"/>
    </row>
    <row r="100" spans="1:11" x14ac:dyDescent="0.25">
      <c r="A100" s="6"/>
      <c r="B100" s="534" t="s">
        <v>919</v>
      </c>
      <c r="C100" s="1164">
        <v>1</v>
      </c>
      <c r="D100" s="1164"/>
      <c r="E100" s="6"/>
      <c r="F100" s="6"/>
      <c r="G100" s="6"/>
      <c r="H100" s="6"/>
      <c r="I100" s="6"/>
      <c r="J100" s="6"/>
      <c r="K100" s="6"/>
    </row>
    <row r="101" spans="1:11" x14ac:dyDescent="0.25">
      <c r="A101" s="6"/>
      <c r="B101" s="534" t="s">
        <v>920</v>
      </c>
      <c r="C101" s="1164">
        <v>1</v>
      </c>
      <c r="D101" s="1164"/>
      <c r="E101" s="6"/>
      <c r="F101" s="6"/>
      <c r="G101" s="6"/>
      <c r="H101" s="6"/>
      <c r="I101" s="6"/>
      <c r="J101" s="6"/>
      <c r="K101" s="6"/>
    </row>
    <row r="102" spans="1:11" ht="15.75" thickBot="1" x14ac:dyDescent="0.3">
      <c r="A102" s="6"/>
      <c r="B102" s="530"/>
      <c r="C102" s="530"/>
      <c r="D102" s="6"/>
      <c r="E102" s="6"/>
      <c r="F102" s="6"/>
      <c r="G102" s="6"/>
      <c r="H102" s="6"/>
      <c r="I102" s="6"/>
      <c r="J102" s="6"/>
      <c r="K102" s="6"/>
    </row>
    <row r="103" spans="1:11" ht="15.75" thickBot="1" x14ac:dyDescent="0.3">
      <c r="A103" s="6"/>
      <c r="B103" s="531" t="s">
        <v>918</v>
      </c>
      <c r="C103" s="532">
        <f>SUM(C100:C102)</f>
        <v>2</v>
      </c>
      <c r="D103" s="6"/>
      <c r="E103" s="6"/>
      <c r="F103" s="6"/>
      <c r="G103" s="6"/>
      <c r="H103" s="6"/>
      <c r="I103" s="6"/>
      <c r="J103" s="6"/>
      <c r="K103" s="6"/>
    </row>
    <row r="104" spans="1:1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</row>
    <row r="105" spans="1:11" x14ac:dyDescent="0.25">
      <c r="A105" s="163" t="str">
        <f>ORÇAMENTO!A36</f>
        <v>4.3</v>
      </c>
      <c r="B105" s="355" t="str">
        <f>ORÇAMENTO!D36</f>
        <v>MEIO - FIO E SARJETAS</v>
      </c>
      <c r="C105" s="164"/>
      <c r="D105" s="355"/>
      <c r="E105" s="164"/>
      <c r="F105" s="164"/>
      <c r="G105" s="355"/>
      <c r="H105" s="164"/>
      <c r="I105" s="164"/>
      <c r="J105" s="355"/>
      <c r="K105" s="164"/>
    </row>
    <row r="106" spans="1:11" ht="30.75" customHeight="1" x14ac:dyDescent="0.25">
      <c r="A106" s="154" t="str">
        <f>ORÇAMENTO!A37</f>
        <v>4.3.1</v>
      </c>
      <c r="B106" s="1152" t="str">
        <f>ORÇAMENTO!D37</f>
        <v>ASSENTAMENTO DE GUIA (MEIO-FIO) EM TRECHO CURVO, CONFECCIONADA EM CONCRETO PRÉ-FABRICADO, DIMENSÕES 100X15X13X30 CM (COMPRIMENTO X BASE INFERIOR X BASE SUPERIOR X ALTURA), PARA VIAS URBANAS (USO VIÁRIO). AF_06/2016</v>
      </c>
      <c r="C106" s="1152"/>
      <c r="D106" s="1152"/>
      <c r="E106" s="1152"/>
      <c r="F106" s="1152"/>
      <c r="G106" s="1152"/>
      <c r="H106" s="1152"/>
      <c r="I106" s="1152"/>
      <c r="J106" s="1152"/>
      <c r="K106" s="1152"/>
    </row>
    <row r="107" spans="1:1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</row>
    <row r="108" spans="1:11" ht="24.75" customHeight="1" x14ac:dyDescent="0.25">
      <c r="A108" s="160" t="s">
        <v>884</v>
      </c>
      <c r="B108" s="160" t="s">
        <v>23</v>
      </c>
      <c r="C108" s="1167" t="s">
        <v>900</v>
      </c>
      <c r="D108" s="1167"/>
      <c r="E108" s="1167"/>
      <c r="F108" s="1167"/>
      <c r="G108" s="1167"/>
      <c r="H108" s="1167"/>
      <c r="I108" s="160" t="s">
        <v>23</v>
      </c>
      <c r="J108" s="160">
        <f>58.15+1.18+2.75+2.75+1.18</f>
        <v>66.010000000000005</v>
      </c>
      <c r="K108" s="155" t="s">
        <v>13</v>
      </c>
    </row>
    <row r="109" spans="1:11" ht="26.25" customHeight="1" x14ac:dyDescent="0.25">
      <c r="A109" s="160" t="s">
        <v>885</v>
      </c>
      <c r="B109" s="160" t="s">
        <v>23</v>
      </c>
      <c r="C109" s="1167" t="s">
        <v>901</v>
      </c>
      <c r="D109" s="1167"/>
      <c r="E109" s="1167"/>
      <c r="F109" s="1167"/>
      <c r="G109" s="1167"/>
      <c r="H109" s="1167"/>
      <c r="I109" s="160" t="s">
        <v>23</v>
      </c>
      <c r="J109" s="160">
        <f>57.7+1.18+2.75+2.75+1.18</f>
        <v>65.56</v>
      </c>
      <c r="K109" s="155" t="s">
        <v>13</v>
      </c>
    </row>
    <row r="110" spans="1:11" ht="29.25" customHeight="1" x14ac:dyDescent="0.25">
      <c r="A110" s="160" t="s">
        <v>886</v>
      </c>
      <c r="B110" s="160" t="s">
        <v>23</v>
      </c>
      <c r="C110" s="1167" t="s">
        <v>901</v>
      </c>
      <c r="D110" s="1167"/>
      <c r="E110" s="1167"/>
      <c r="F110" s="1167"/>
      <c r="G110" s="1167"/>
      <c r="H110" s="1167"/>
      <c r="I110" s="160" t="s">
        <v>23</v>
      </c>
      <c r="J110" s="160">
        <f>57.7+1.18+2.75+2.75+1.18</f>
        <v>65.56</v>
      </c>
      <c r="K110" s="155" t="s">
        <v>13</v>
      </c>
    </row>
    <row r="111" spans="1:11" ht="28.5" customHeight="1" x14ac:dyDescent="0.25">
      <c r="A111" s="157" t="s">
        <v>887</v>
      </c>
      <c r="B111" s="157" t="s">
        <v>23</v>
      </c>
      <c r="C111" s="1166" t="s">
        <v>889</v>
      </c>
      <c r="D111" s="1166"/>
      <c r="E111" s="1166"/>
      <c r="F111" s="1166"/>
      <c r="G111" s="1166"/>
      <c r="H111" s="1166"/>
      <c r="I111" s="157" t="s">
        <v>23</v>
      </c>
      <c r="J111" s="160">
        <f>6.98+3.53+13.5+22.15+16.12+22.68+9.26+17.75+13.5+12.58+22.69+12.49+13.5+18.17+15.33+13.31+30.44</f>
        <v>263.98000000000008</v>
      </c>
      <c r="K111" s="155" t="s">
        <v>13</v>
      </c>
    </row>
    <row r="112" spans="1:11" ht="35.25" customHeight="1" x14ac:dyDescent="0.25">
      <c r="A112" s="352" t="s">
        <v>888</v>
      </c>
      <c r="B112" s="160" t="s">
        <v>23</v>
      </c>
      <c r="C112" s="155">
        <v>50.55</v>
      </c>
      <c r="D112" s="174"/>
      <c r="E112" s="174"/>
      <c r="F112" s="174"/>
      <c r="G112" s="174"/>
      <c r="H112" s="174"/>
      <c r="I112" s="160" t="s">
        <v>23</v>
      </c>
      <c r="J112" s="160">
        <v>50.55</v>
      </c>
      <c r="K112" s="155" t="s">
        <v>13</v>
      </c>
    </row>
    <row r="113" spans="1:11" x14ac:dyDescent="0.25">
      <c r="A113" s="164"/>
      <c r="B113" s="157"/>
      <c r="C113" s="157"/>
      <c r="D113" s="174"/>
      <c r="E113" s="157"/>
      <c r="F113" s="157"/>
      <c r="G113" s="174"/>
      <c r="H113" s="157"/>
      <c r="I113" s="157"/>
      <c r="J113" s="174"/>
      <c r="K113" s="155"/>
    </row>
    <row r="114" spans="1:11" x14ac:dyDescent="0.25">
      <c r="A114" s="1165" t="s">
        <v>905</v>
      </c>
      <c r="B114" s="1165"/>
      <c r="C114" s="157" t="s">
        <v>23</v>
      </c>
      <c r="D114" s="1168" t="s">
        <v>909</v>
      </c>
      <c r="E114" s="1168"/>
      <c r="F114" s="1168"/>
      <c r="G114" s="1168"/>
      <c r="H114" s="1168"/>
      <c r="I114" s="160" t="s">
        <v>23</v>
      </c>
      <c r="J114" s="160">
        <f>1.18+1.18+1.13+1.18</f>
        <v>4.67</v>
      </c>
      <c r="K114" s="155" t="s">
        <v>13</v>
      </c>
    </row>
    <row r="115" spans="1:11" x14ac:dyDescent="0.25">
      <c r="A115" s="1165" t="s">
        <v>906</v>
      </c>
      <c r="B115" s="1165"/>
      <c r="C115" s="157" t="s">
        <v>23</v>
      </c>
      <c r="D115" s="1168" t="s">
        <v>909</v>
      </c>
      <c r="E115" s="1168"/>
      <c r="F115" s="1168"/>
      <c r="G115" s="1168"/>
      <c r="H115" s="1168"/>
      <c r="I115" s="160" t="s">
        <v>23</v>
      </c>
      <c r="J115" s="160">
        <f t="shared" ref="J115:J116" si="1">1.18+1.18+1.13+1.18</f>
        <v>4.67</v>
      </c>
      <c r="K115" s="155" t="s">
        <v>13</v>
      </c>
    </row>
    <row r="116" spans="1:11" x14ac:dyDescent="0.25">
      <c r="A116" s="1165" t="s">
        <v>907</v>
      </c>
      <c r="B116" s="1165"/>
      <c r="C116" s="157" t="s">
        <v>23</v>
      </c>
      <c r="D116" s="1168" t="s">
        <v>909</v>
      </c>
      <c r="E116" s="1168"/>
      <c r="F116" s="1168"/>
      <c r="G116" s="1168"/>
      <c r="H116" s="1168"/>
      <c r="I116" s="160" t="s">
        <v>23</v>
      </c>
      <c r="J116" s="160">
        <f t="shared" si="1"/>
        <v>4.67</v>
      </c>
      <c r="K116" s="155" t="s">
        <v>13</v>
      </c>
    </row>
    <row r="117" spans="1:11" x14ac:dyDescent="0.25">
      <c r="A117" s="164"/>
      <c r="B117" s="157"/>
      <c r="C117" s="157"/>
      <c r="D117" s="174"/>
      <c r="E117" s="157"/>
      <c r="F117" s="157"/>
      <c r="G117" s="174"/>
      <c r="H117" s="157"/>
      <c r="I117" s="157"/>
      <c r="J117" s="174"/>
      <c r="K117" s="155"/>
    </row>
    <row r="118" spans="1:11" x14ac:dyDescent="0.25">
      <c r="A118" s="1165" t="s">
        <v>891</v>
      </c>
      <c r="B118" s="1165"/>
      <c r="C118" s="1165"/>
      <c r="D118" s="157" t="s">
        <v>23</v>
      </c>
      <c r="E118" s="174">
        <f>SUM(J108:J116)</f>
        <v>525.66999999999996</v>
      </c>
      <c r="F118" s="155" t="s">
        <v>13</v>
      </c>
      <c r="G118" s="174"/>
      <c r="H118" s="157"/>
      <c r="I118" s="157"/>
      <c r="J118" s="174"/>
      <c r="K118" s="155"/>
    </row>
    <row r="119" spans="1:11" x14ac:dyDescent="0.25">
      <c r="A119" s="164"/>
      <c r="B119" s="157"/>
      <c r="C119" s="157"/>
      <c r="D119" s="174"/>
      <c r="E119" s="157"/>
      <c r="F119" s="157"/>
      <c r="G119" s="174"/>
      <c r="H119" s="157"/>
      <c r="I119" s="157"/>
      <c r="J119" s="174"/>
      <c r="K119" s="53"/>
    </row>
    <row r="120" spans="1:11" x14ac:dyDescent="0.25">
      <c r="A120" s="1166" t="s">
        <v>893</v>
      </c>
      <c r="B120" s="1166"/>
      <c r="C120" s="1166"/>
      <c r="D120" s="1166"/>
      <c r="E120" s="157"/>
      <c r="F120" s="157"/>
      <c r="G120" s="174"/>
      <c r="H120" s="157"/>
      <c r="I120" s="157"/>
      <c r="J120" s="174"/>
      <c r="K120" s="53"/>
    </row>
    <row r="121" spans="1:11" x14ac:dyDescent="0.25">
      <c r="A121" s="164"/>
      <c r="B121" s="157"/>
      <c r="C121" s="157"/>
      <c r="D121" s="174"/>
      <c r="E121" s="157"/>
      <c r="F121" s="157"/>
      <c r="G121" s="174"/>
      <c r="H121" s="157"/>
      <c r="I121" s="157"/>
      <c r="J121" s="174"/>
      <c r="K121" s="53"/>
    </row>
    <row r="122" spans="1:11" x14ac:dyDescent="0.25">
      <c r="A122" s="160" t="s">
        <v>884</v>
      </c>
      <c r="B122" s="160" t="s">
        <v>23</v>
      </c>
      <c r="C122" s="157">
        <f>5*0.2</f>
        <v>1</v>
      </c>
      <c r="D122" s="155" t="s">
        <v>13</v>
      </c>
      <c r="E122" s="155"/>
      <c r="F122" s="157"/>
      <c r="G122" s="174"/>
      <c r="H122" s="157"/>
      <c r="I122" s="157"/>
      <c r="J122" s="174"/>
      <c r="K122" s="53"/>
    </row>
    <row r="123" spans="1:11" x14ac:dyDescent="0.25">
      <c r="A123" s="160" t="s">
        <v>885</v>
      </c>
      <c r="B123" s="160" t="s">
        <v>23</v>
      </c>
      <c r="C123" s="157">
        <f>10*0.2</f>
        <v>2</v>
      </c>
      <c r="D123" s="155" t="s">
        <v>13</v>
      </c>
      <c r="E123" s="160"/>
      <c r="F123" s="157"/>
      <c r="G123" s="174"/>
      <c r="H123" s="157"/>
      <c r="I123" s="157"/>
      <c r="J123" s="174"/>
      <c r="K123" s="53"/>
    </row>
    <row r="124" spans="1:11" x14ac:dyDescent="0.25">
      <c r="A124" s="160" t="s">
        <v>886</v>
      </c>
      <c r="B124" s="160" t="s">
        <v>23</v>
      </c>
      <c r="C124" s="157">
        <f>10*0.2</f>
        <v>2</v>
      </c>
      <c r="D124" s="155" t="s">
        <v>13</v>
      </c>
      <c r="E124" s="155"/>
      <c r="F124" s="157"/>
      <c r="G124" s="174"/>
      <c r="H124" s="157"/>
      <c r="I124" s="157"/>
      <c r="J124" s="174"/>
      <c r="K124" s="53"/>
    </row>
    <row r="125" spans="1:11" x14ac:dyDescent="0.25">
      <c r="A125" s="157" t="s">
        <v>887</v>
      </c>
      <c r="B125" s="160" t="s">
        <v>23</v>
      </c>
      <c r="C125" s="352">
        <f>0.2*38</f>
        <v>7.6000000000000005</v>
      </c>
      <c r="D125" s="155" t="s">
        <v>13</v>
      </c>
      <c r="E125" s="160"/>
      <c r="F125" s="157"/>
      <c r="G125" s="174"/>
      <c r="H125" s="157"/>
      <c r="I125" s="157"/>
      <c r="J125" s="174"/>
      <c r="K125" s="53"/>
    </row>
    <row r="126" spans="1:11" x14ac:dyDescent="0.25">
      <c r="A126" s="164"/>
      <c r="B126" s="157"/>
      <c r="C126" s="157"/>
      <c r="D126" s="160"/>
      <c r="E126" s="160"/>
      <c r="F126" s="157"/>
      <c r="G126" s="174"/>
      <c r="H126" s="157"/>
      <c r="I126" s="157"/>
      <c r="J126" s="174"/>
      <c r="K126" s="53"/>
    </row>
    <row r="127" spans="1:11" x14ac:dyDescent="0.25">
      <c r="A127" s="1165" t="s">
        <v>890</v>
      </c>
      <c r="B127" s="1165"/>
      <c r="C127" s="160" t="s">
        <v>23</v>
      </c>
      <c r="D127" s="352">
        <f>SUM(C122:C125)</f>
        <v>12.600000000000001</v>
      </c>
      <c r="E127" s="155" t="s">
        <v>13</v>
      </c>
      <c r="F127" s="159"/>
      <c r="G127" s="54"/>
      <c r="H127" s="352"/>
      <c r="I127" s="154"/>
      <c r="J127" s="154"/>
      <c r="K127" s="469"/>
    </row>
    <row r="128" spans="1:11" x14ac:dyDescent="0.25">
      <c r="A128" s="164"/>
      <c r="B128" s="157"/>
      <c r="C128" s="354"/>
      <c r="D128" s="354"/>
      <c r="E128" s="354"/>
      <c r="F128" s="354"/>
      <c r="G128" s="54"/>
      <c r="H128" s="352"/>
      <c r="I128" s="154"/>
      <c r="J128" s="154"/>
      <c r="K128" s="469"/>
    </row>
    <row r="129" spans="1:11" x14ac:dyDescent="0.25">
      <c r="A129" s="164"/>
      <c r="B129" s="157"/>
      <c r="C129" s="354"/>
      <c r="D129" s="1165" t="s">
        <v>891</v>
      </c>
      <c r="E129" s="1165"/>
      <c r="F129" s="1165"/>
      <c r="G129" s="157"/>
      <c r="H129" s="1166" t="s">
        <v>893</v>
      </c>
      <c r="I129" s="1166"/>
      <c r="J129" s="1166"/>
      <c r="K129" s="1166"/>
    </row>
    <row r="130" spans="1:11" x14ac:dyDescent="0.25">
      <c r="A130" s="1165" t="s">
        <v>892</v>
      </c>
      <c r="B130" s="1165"/>
      <c r="C130" s="1165"/>
      <c r="D130" s="157" t="s">
        <v>23</v>
      </c>
      <c r="E130" s="1165">
        <f>E118</f>
        <v>525.66999999999996</v>
      </c>
      <c r="F130" s="1165"/>
      <c r="G130" s="54" t="s">
        <v>150</v>
      </c>
      <c r="H130" s="1169">
        <f>D127</f>
        <v>12.600000000000001</v>
      </c>
      <c r="I130" s="1169"/>
      <c r="J130" s="1169"/>
      <c r="K130" s="469"/>
    </row>
    <row r="131" spans="1:11" x14ac:dyDescent="0.25">
      <c r="A131" s="1165" t="s">
        <v>892</v>
      </c>
      <c r="B131" s="1165"/>
      <c r="C131" s="1165"/>
      <c r="D131" s="157" t="s">
        <v>23</v>
      </c>
      <c r="E131" s="352">
        <f>E130-H130</f>
        <v>513.06999999999994</v>
      </c>
      <c r="F131" s="354" t="s">
        <v>13</v>
      </c>
      <c r="G131" s="54"/>
      <c r="H131" s="352"/>
      <c r="I131" s="154"/>
      <c r="J131" s="154"/>
      <c r="K131" s="469"/>
    </row>
    <row r="132" spans="1:11" ht="19.5" customHeight="1" x14ac:dyDescent="0.25">
      <c r="A132" s="164"/>
      <c r="B132" s="157"/>
      <c r="C132" s="480" t="s">
        <v>364</v>
      </c>
      <c r="D132" s="166">
        <f>E131</f>
        <v>513.06999999999994</v>
      </c>
      <c r="E132" s="481" t="s">
        <v>13</v>
      </c>
      <c r="F132" s="157"/>
      <c r="G132" s="174"/>
      <c r="H132" s="157"/>
      <c r="I132" s="157"/>
      <c r="J132" s="174"/>
      <c r="K132" s="53"/>
    </row>
    <row r="133" spans="1:11" x14ac:dyDescent="0.25">
      <c r="A133" s="157"/>
      <c r="B133" s="157"/>
      <c r="C133" s="157"/>
      <c r="D133" s="157"/>
      <c r="E133" s="157"/>
      <c r="F133" s="157"/>
      <c r="G133" s="174"/>
      <c r="H133" s="157"/>
      <c r="I133" s="157"/>
      <c r="J133" s="174"/>
      <c r="K133" s="53"/>
    </row>
    <row r="134" spans="1:11" ht="60.75" customHeight="1" x14ac:dyDescent="0.25">
      <c r="A134" s="154" t="str">
        <f>ORÇAMENTO!A38</f>
        <v>4.3.2</v>
      </c>
      <c r="B134" s="1130" t="str">
        <f>ORÇAMENTO!D38</f>
        <v>ASSENTAMENTO DE GUIA (MEIO-FIO) EM TRECHO RETO, CONFECCIONADA EM CONCRETO PRÉ-FABRICADO, DIMENSÕES 100X15X13X30 CM (COMPRIMENTO X BASE INFERIOR X BASE SUPERIOR X ALTURA), PARA VIAS URBANAS (USO VIÁRIO). AF_06/2016</v>
      </c>
      <c r="C134" s="1130"/>
      <c r="D134" s="1130"/>
      <c r="E134" s="1130"/>
      <c r="F134" s="1130"/>
      <c r="G134" s="1130"/>
      <c r="H134" s="1130"/>
      <c r="I134" s="1130"/>
      <c r="J134" s="1130"/>
      <c r="K134" s="1130"/>
    </row>
    <row r="135" spans="1:1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</row>
    <row r="136" spans="1:11" ht="24.75" customHeight="1" x14ac:dyDescent="0.25">
      <c r="A136" s="160" t="s">
        <v>884</v>
      </c>
      <c r="B136" s="160" t="s">
        <v>23</v>
      </c>
      <c r="C136" s="1167" t="s">
        <v>898</v>
      </c>
      <c r="D136" s="1167"/>
      <c r="E136" s="1167"/>
      <c r="F136" s="1167"/>
      <c r="G136" s="1167"/>
      <c r="H136" s="1167"/>
      <c r="I136" s="160" t="s">
        <v>23</v>
      </c>
      <c r="J136" s="160">
        <f>6.41+5.7+23.76+5.74+6.36</f>
        <v>47.970000000000006</v>
      </c>
      <c r="K136" s="155" t="s">
        <v>13</v>
      </c>
    </row>
    <row r="137" spans="1:11" ht="26.25" customHeight="1" x14ac:dyDescent="0.25">
      <c r="A137" s="160" t="s">
        <v>885</v>
      </c>
      <c r="B137" s="160" t="s">
        <v>23</v>
      </c>
      <c r="C137" s="1167" t="s">
        <v>897</v>
      </c>
      <c r="D137" s="1167"/>
      <c r="E137" s="1167"/>
      <c r="F137" s="1167"/>
      <c r="G137" s="1167"/>
      <c r="H137" s="1167"/>
      <c r="I137" s="160" t="s">
        <v>23</v>
      </c>
      <c r="J137" s="160">
        <f>6.44+5.75+23.76+5.74+6.38</f>
        <v>48.070000000000007</v>
      </c>
      <c r="K137" s="155" t="s">
        <v>13</v>
      </c>
    </row>
    <row r="138" spans="1:11" ht="29.25" customHeight="1" x14ac:dyDescent="0.25">
      <c r="A138" s="160" t="s">
        <v>886</v>
      </c>
      <c r="B138" s="160" t="s">
        <v>23</v>
      </c>
      <c r="C138" s="1167" t="s">
        <v>899</v>
      </c>
      <c r="D138" s="1167"/>
      <c r="E138" s="1167"/>
      <c r="F138" s="1167"/>
      <c r="G138" s="1167"/>
      <c r="H138" s="1167"/>
      <c r="I138" s="160" t="s">
        <v>23</v>
      </c>
      <c r="J138" s="160">
        <f>6.43+5.75+23.76+5.72+6.38</f>
        <v>48.04</v>
      </c>
      <c r="K138" s="155" t="s">
        <v>13</v>
      </c>
    </row>
    <row r="139" spans="1:11" ht="21" customHeight="1" x14ac:dyDescent="0.25">
      <c r="A139" s="1165" t="s">
        <v>905</v>
      </c>
      <c r="B139" s="1165"/>
      <c r="C139" s="157" t="s">
        <v>23</v>
      </c>
      <c r="D139" s="1168" t="s">
        <v>908</v>
      </c>
      <c r="E139" s="1168"/>
      <c r="F139" s="1168"/>
      <c r="G139" s="1168"/>
      <c r="H139" s="1168"/>
      <c r="I139" s="160" t="s">
        <v>23</v>
      </c>
      <c r="J139" s="157">
        <f>6.36+23.77+6.39</f>
        <v>36.519999999999996</v>
      </c>
      <c r="K139" s="155" t="s">
        <v>13</v>
      </c>
    </row>
    <row r="140" spans="1:11" ht="22.5" customHeight="1" x14ac:dyDescent="0.25">
      <c r="A140" s="1165" t="s">
        <v>906</v>
      </c>
      <c r="B140" s="1165"/>
      <c r="C140" s="157" t="s">
        <v>23</v>
      </c>
      <c r="D140" s="1168" t="s">
        <v>912</v>
      </c>
      <c r="E140" s="1168"/>
      <c r="F140" s="1168"/>
      <c r="G140" s="1168"/>
      <c r="H140" s="1168"/>
      <c r="I140" s="160" t="s">
        <v>23</v>
      </c>
      <c r="J140" s="157">
        <f>6.34+23.77+6.39</f>
        <v>36.5</v>
      </c>
      <c r="K140" s="155" t="s">
        <v>13</v>
      </c>
    </row>
    <row r="141" spans="1:11" ht="25.5" customHeight="1" x14ac:dyDescent="0.25">
      <c r="A141" s="1165" t="s">
        <v>907</v>
      </c>
      <c r="B141" s="1165"/>
      <c r="C141" s="157" t="s">
        <v>23</v>
      </c>
      <c r="D141" s="1168" t="s">
        <v>913</v>
      </c>
      <c r="E141" s="1168"/>
      <c r="F141" s="1168"/>
      <c r="G141" s="1168"/>
      <c r="H141" s="1168"/>
      <c r="I141" s="160" t="s">
        <v>23</v>
      </c>
      <c r="J141" s="157">
        <f>6.34+23.76+6.39</f>
        <v>36.49</v>
      </c>
      <c r="K141" s="155" t="s">
        <v>13</v>
      </c>
    </row>
    <row r="142" spans="1:11" x14ac:dyDescent="0.25">
      <c r="A142" s="164"/>
      <c r="B142" s="157"/>
      <c r="C142" s="157"/>
      <c r="D142" s="174"/>
      <c r="E142" s="157"/>
      <c r="F142" s="157"/>
      <c r="G142" s="174"/>
      <c r="H142" s="157"/>
      <c r="I142" s="157"/>
      <c r="J142" s="174"/>
      <c r="K142" s="155"/>
    </row>
    <row r="143" spans="1:11" x14ac:dyDescent="0.25">
      <c r="A143" s="1165" t="s">
        <v>891</v>
      </c>
      <c r="B143" s="1165"/>
      <c r="C143" s="1165"/>
      <c r="D143" s="157" t="s">
        <v>23</v>
      </c>
      <c r="E143" s="174">
        <f>SUM(J136:J141)</f>
        <v>253.59000000000003</v>
      </c>
      <c r="F143" s="155" t="s">
        <v>13</v>
      </c>
      <c r="G143" s="174"/>
      <c r="H143" s="157"/>
      <c r="I143" s="157"/>
      <c r="J143" s="174"/>
      <c r="K143" s="155"/>
    </row>
    <row r="144" spans="1:11" x14ac:dyDescent="0.25">
      <c r="A144" s="157"/>
      <c r="B144" s="157"/>
      <c r="C144" s="157"/>
      <c r="D144" s="157"/>
      <c r="E144" s="174"/>
      <c r="F144" s="155"/>
      <c r="G144" s="174"/>
      <c r="H144" s="157"/>
      <c r="I144" s="157"/>
      <c r="J144" s="174"/>
      <c r="K144" s="155"/>
    </row>
    <row r="145" spans="1:11" x14ac:dyDescent="0.25">
      <c r="A145" s="1166" t="s">
        <v>911</v>
      </c>
      <c r="B145" s="1166"/>
      <c r="C145" s="1166"/>
      <c r="D145" s="1166"/>
      <c r="E145" s="157"/>
      <c r="F145" s="157"/>
      <c r="G145" s="174"/>
      <c r="H145" s="157"/>
      <c r="I145" s="157"/>
      <c r="J145" s="174"/>
      <c r="K145" s="53"/>
    </row>
    <row r="146" spans="1:11" x14ac:dyDescent="0.25">
      <c r="A146" s="164"/>
      <c r="B146" s="157"/>
      <c r="C146" s="157"/>
      <c r="D146" s="174"/>
      <c r="E146" s="157"/>
      <c r="F146" s="157"/>
      <c r="G146" s="174"/>
      <c r="H146" s="157"/>
      <c r="I146" s="157"/>
      <c r="J146" s="174"/>
      <c r="K146" s="53"/>
    </row>
    <row r="147" spans="1:11" x14ac:dyDescent="0.25">
      <c r="A147" s="160" t="s">
        <v>910</v>
      </c>
      <c r="B147" s="160" t="s">
        <v>23</v>
      </c>
      <c r="C147" s="157">
        <f>5.08*3</f>
        <v>15.24</v>
      </c>
      <c r="D147" s="155" t="s">
        <v>13</v>
      </c>
      <c r="E147" s="155"/>
      <c r="F147" s="157"/>
      <c r="G147" s="174"/>
      <c r="H147" s="157"/>
      <c r="I147" s="157"/>
      <c r="J147" s="174"/>
      <c r="K147" s="53"/>
    </row>
    <row r="148" spans="1:11" x14ac:dyDescent="0.25">
      <c r="A148" s="164"/>
      <c r="B148" s="157"/>
      <c r="C148" s="157"/>
      <c r="D148" s="160"/>
      <c r="E148" s="160"/>
      <c r="F148" s="157"/>
      <c r="G148" s="174"/>
      <c r="H148" s="157"/>
      <c r="I148" s="157"/>
      <c r="J148" s="174"/>
      <c r="K148" s="53"/>
    </row>
    <row r="149" spans="1:11" x14ac:dyDescent="0.25">
      <c r="A149" s="1165" t="s">
        <v>890</v>
      </c>
      <c r="B149" s="1165"/>
      <c r="C149" s="160" t="s">
        <v>23</v>
      </c>
      <c r="D149" s="352">
        <f>SUM(C147:C147)</f>
        <v>15.24</v>
      </c>
      <c r="E149" s="155" t="s">
        <v>13</v>
      </c>
      <c r="F149" s="159"/>
      <c r="G149" s="54"/>
      <c r="H149" s="352"/>
      <c r="I149" s="154"/>
      <c r="J149" s="154"/>
      <c r="K149" s="469"/>
    </row>
    <row r="150" spans="1:11" x14ac:dyDescent="0.25">
      <c r="A150" s="164"/>
      <c r="B150" s="157"/>
      <c r="C150" s="354"/>
      <c r="D150" s="354"/>
      <c r="E150" s="354"/>
      <c r="F150" s="354"/>
      <c r="G150" s="54"/>
      <c r="H150" s="352"/>
      <c r="I150" s="154"/>
      <c r="J150" s="154"/>
      <c r="K150" s="469"/>
    </row>
    <row r="151" spans="1:11" x14ac:dyDescent="0.25">
      <c r="A151" s="164"/>
      <c r="B151" s="157"/>
      <c r="C151" s="354"/>
      <c r="D151" s="1165" t="s">
        <v>891</v>
      </c>
      <c r="E151" s="1165"/>
      <c r="F151" s="1165"/>
      <c r="G151" s="157"/>
      <c r="H151" s="1166" t="s">
        <v>893</v>
      </c>
      <c r="I151" s="1166"/>
      <c r="J151" s="1166"/>
      <c r="K151" s="1166"/>
    </row>
    <row r="152" spans="1:11" ht="15.75" customHeight="1" x14ac:dyDescent="0.25">
      <c r="A152" s="1165" t="s">
        <v>892</v>
      </c>
      <c r="B152" s="1165"/>
      <c r="C152" s="1165"/>
      <c r="D152" s="157" t="s">
        <v>23</v>
      </c>
      <c r="E152" s="1165">
        <f>E143</f>
        <v>253.59000000000003</v>
      </c>
      <c r="F152" s="1165"/>
      <c r="G152" s="54" t="s">
        <v>150</v>
      </c>
      <c r="H152" s="1169">
        <f>D149</f>
        <v>15.24</v>
      </c>
      <c r="I152" s="1169"/>
      <c r="J152" s="1169"/>
      <c r="K152" s="469"/>
    </row>
    <row r="153" spans="1:11" ht="23.25" customHeight="1" x14ac:dyDescent="0.25">
      <c r="A153" s="1165" t="s">
        <v>892</v>
      </c>
      <c r="B153" s="1165"/>
      <c r="C153" s="1165"/>
      <c r="D153" s="157" t="s">
        <v>23</v>
      </c>
      <c r="E153" s="352">
        <f>E152-H152</f>
        <v>238.35000000000002</v>
      </c>
      <c r="F153" s="354" t="s">
        <v>13</v>
      </c>
      <c r="G153" s="54"/>
      <c r="H153" s="352"/>
      <c r="I153" s="154"/>
      <c r="J153" s="154"/>
      <c r="K153" s="469"/>
    </row>
    <row r="154" spans="1:11" x14ac:dyDescent="0.25">
      <c r="A154" s="164"/>
      <c r="B154" s="157"/>
      <c r="C154" s="354"/>
      <c r="D154" s="354"/>
      <c r="E154" s="354"/>
      <c r="F154" s="354"/>
      <c r="G154" s="54"/>
      <c r="H154" s="352"/>
      <c r="I154" s="154"/>
      <c r="J154" s="154"/>
      <c r="K154" s="469"/>
    </row>
    <row r="155" spans="1:11" x14ac:dyDescent="0.25">
      <c r="A155" s="164"/>
      <c r="B155" s="157"/>
      <c r="C155" s="480" t="s">
        <v>364</v>
      </c>
      <c r="D155" s="166">
        <f>E153</f>
        <v>238.35000000000002</v>
      </c>
      <c r="E155" s="481" t="s">
        <v>13</v>
      </c>
      <c r="F155" s="157"/>
      <c r="G155" s="174"/>
      <c r="H155" s="157"/>
      <c r="I155" s="157"/>
      <c r="J155" s="174"/>
      <c r="K155" s="53"/>
    </row>
    <row r="156" spans="1:11" ht="18.7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</row>
    <row r="157" spans="1:11" ht="28.5" customHeight="1" x14ac:dyDescent="0.25">
      <c r="A157" s="154" t="str">
        <f>ORÇAMENTO!A39</f>
        <v>4.3.3</v>
      </c>
      <c r="B157" s="1130" t="str">
        <f>ORÇAMENTO!D39</f>
        <v>MEIO-FIO EM CONCRETO NAS DIMENSÕES 0,30M X 0,12M COM LÂMINA D'ÁGUA</v>
      </c>
      <c r="C157" s="1130"/>
      <c r="D157" s="1130"/>
      <c r="E157" s="1130"/>
      <c r="F157" s="1130"/>
      <c r="G157" s="1130"/>
      <c r="H157" s="1130"/>
      <c r="I157" s="1130"/>
      <c r="J157" s="1130"/>
      <c r="K157" s="1130"/>
    </row>
    <row r="158" spans="1:1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</row>
    <row r="159" spans="1:11" x14ac:dyDescent="0.25">
      <c r="A159" s="164"/>
      <c r="B159" s="53"/>
      <c r="C159" s="158" t="s">
        <v>363</v>
      </c>
      <c r="D159" s="174" t="s">
        <v>1125</v>
      </c>
      <c r="E159" s="157"/>
      <c r="F159" s="157"/>
      <c r="G159" s="174"/>
      <c r="H159" s="157"/>
      <c r="I159" s="157"/>
      <c r="J159" s="174"/>
      <c r="K159" s="53"/>
    </row>
    <row r="160" spans="1:11" x14ac:dyDescent="0.25">
      <c r="A160" s="164"/>
      <c r="B160" s="157"/>
      <c r="C160" s="157"/>
      <c r="D160" s="174"/>
      <c r="E160" s="157"/>
      <c r="F160" s="157"/>
      <c r="G160" s="174"/>
      <c r="H160" s="157"/>
      <c r="I160" s="157"/>
      <c r="J160" s="174"/>
      <c r="K160" s="53"/>
    </row>
    <row r="161" spans="1:11" x14ac:dyDescent="0.25">
      <c r="A161" s="1171" t="s">
        <v>891</v>
      </c>
      <c r="B161" s="1171"/>
      <c r="C161" s="1171"/>
      <c r="D161" s="157" t="s">
        <v>23</v>
      </c>
      <c r="E161" s="174">
        <f>ROUND(50.17+37.85+40.48+40.65+12.58,2)</f>
        <v>181.73</v>
      </c>
      <c r="F161" s="155" t="s">
        <v>13</v>
      </c>
      <c r="G161" s="6"/>
      <c r="H161" s="6"/>
      <c r="I161" s="6"/>
      <c r="J161" s="6"/>
      <c r="K161" s="6"/>
    </row>
    <row r="162" spans="1:11" x14ac:dyDescent="0.25">
      <c r="A162" s="157"/>
      <c r="B162" s="157"/>
      <c r="C162" s="157"/>
      <c r="D162" s="157"/>
      <c r="E162" s="174"/>
      <c r="F162" s="155"/>
      <c r="G162" s="6"/>
      <c r="H162" s="6"/>
      <c r="I162" s="6"/>
      <c r="J162" s="6"/>
      <c r="K162" s="6"/>
    </row>
    <row r="163" spans="1:11" x14ac:dyDescent="0.25">
      <c r="A163" s="160" t="s">
        <v>910</v>
      </c>
      <c r="B163" s="160" t="s">
        <v>23</v>
      </c>
      <c r="C163" s="157">
        <f>2.5*4</f>
        <v>10</v>
      </c>
      <c r="D163" s="155" t="s">
        <v>13</v>
      </c>
      <c r="E163" s="155"/>
      <c r="F163" s="157"/>
      <c r="G163" s="174"/>
      <c r="H163" s="157"/>
      <c r="I163" s="157"/>
      <c r="J163" s="174"/>
      <c r="K163" s="53"/>
    </row>
    <row r="164" spans="1:11" x14ac:dyDescent="0.25">
      <c r="A164" s="164"/>
      <c r="B164" s="157"/>
      <c r="C164" s="157"/>
      <c r="D164" s="160"/>
      <c r="E164" s="160"/>
      <c r="F164" s="157"/>
      <c r="G164" s="174"/>
      <c r="H164" s="157"/>
      <c r="I164" s="157"/>
      <c r="J164" s="174"/>
      <c r="K164" s="53"/>
    </row>
    <row r="165" spans="1:11" x14ac:dyDescent="0.25">
      <c r="A165" s="1165" t="s">
        <v>890</v>
      </c>
      <c r="B165" s="1165"/>
      <c r="C165" s="160" t="s">
        <v>23</v>
      </c>
      <c r="D165" s="352">
        <f>SUM(C163:C163)</f>
        <v>10</v>
      </c>
      <c r="E165" s="155" t="s">
        <v>13</v>
      </c>
      <c r="F165" s="159"/>
      <c r="G165" s="54"/>
      <c r="H165" s="352"/>
      <c r="I165" s="154"/>
      <c r="J165" s="154"/>
      <c r="K165" s="469"/>
    </row>
    <row r="166" spans="1:11" x14ac:dyDescent="0.25">
      <c r="A166" s="164"/>
      <c r="B166" s="157"/>
      <c r="C166" s="354"/>
      <c r="D166" s="354"/>
      <c r="E166" s="354"/>
      <c r="F166" s="354"/>
      <c r="G166" s="54"/>
      <c r="H166" s="352"/>
      <c r="I166" s="154"/>
      <c r="J166" s="154"/>
      <c r="K166" s="469"/>
    </row>
    <row r="167" spans="1:11" x14ac:dyDescent="0.25">
      <c r="A167" s="164"/>
      <c r="B167" s="157"/>
      <c r="C167" s="354"/>
      <c r="D167" s="1165" t="s">
        <v>891</v>
      </c>
      <c r="E167" s="1165"/>
      <c r="F167" s="1165"/>
      <c r="G167" s="157"/>
      <c r="H167" s="1166" t="s">
        <v>893</v>
      </c>
      <c r="I167" s="1166"/>
      <c r="J167" s="1166"/>
      <c r="K167" s="1166"/>
    </row>
    <row r="168" spans="1:11" ht="15.75" customHeight="1" x14ac:dyDescent="0.25">
      <c r="A168" s="1165" t="s">
        <v>892</v>
      </c>
      <c r="B168" s="1165"/>
      <c r="C168" s="1165"/>
      <c r="D168" s="157" t="s">
        <v>23</v>
      </c>
      <c r="E168" s="1165">
        <f>E161</f>
        <v>181.73</v>
      </c>
      <c r="F168" s="1165"/>
      <c r="G168" s="54" t="s">
        <v>150</v>
      </c>
      <c r="H168" s="1169">
        <f>D165</f>
        <v>10</v>
      </c>
      <c r="I168" s="1169"/>
      <c r="J168" s="1169"/>
      <c r="K168" s="469"/>
    </row>
    <row r="169" spans="1:11" ht="23.25" customHeight="1" x14ac:dyDescent="0.25">
      <c r="A169" s="1165" t="s">
        <v>892</v>
      </c>
      <c r="B169" s="1165"/>
      <c r="C169" s="1165"/>
      <c r="D169" s="157" t="s">
        <v>23</v>
      </c>
      <c r="E169" s="352">
        <f>E168-H168</f>
        <v>171.73</v>
      </c>
      <c r="F169" s="354" t="s">
        <v>13</v>
      </c>
      <c r="G169" s="54"/>
      <c r="H169" s="352"/>
      <c r="I169" s="154"/>
      <c r="J169" s="154"/>
      <c r="K169" s="469"/>
    </row>
    <row r="170" spans="1:11" x14ac:dyDescent="0.25">
      <c r="A170" s="164"/>
      <c r="B170" s="157"/>
      <c r="C170" s="354"/>
      <c r="D170" s="354"/>
      <c r="E170" s="354"/>
      <c r="F170" s="354"/>
      <c r="G170" s="54"/>
      <c r="H170" s="352"/>
      <c r="I170" s="154"/>
      <c r="J170" s="154"/>
      <c r="K170" s="469"/>
    </row>
    <row r="171" spans="1:11" x14ac:dyDescent="0.25">
      <c r="A171" s="164"/>
      <c r="B171" s="157"/>
      <c r="C171" s="480" t="s">
        <v>364</v>
      </c>
      <c r="D171" s="166">
        <f>E169</f>
        <v>171.73</v>
      </c>
      <c r="E171" s="481" t="s">
        <v>13</v>
      </c>
      <c r="F171" s="157"/>
      <c r="G171" s="174"/>
      <c r="H171" s="157"/>
      <c r="I171" s="157"/>
      <c r="J171" s="174"/>
      <c r="K171" s="53"/>
    </row>
    <row r="172" spans="1:1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</row>
    <row r="173" spans="1:11" ht="32.25" customHeight="1" x14ac:dyDescent="0.25">
      <c r="A173" s="154" t="str">
        <f>ORÇAMENTO!A40</f>
        <v>4.3.4</v>
      </c>
      <c r="B173" s="1152" t="str">
        <f>ORÇAMENTO!D40</f>
        <v>EXECUÇÃO DE SARJETÃO DE CONCRETO USINADO, MOLDADA IN LOCO EM TRECHO RETO, 60 CM BASE X 20 CM ALTURA.</v>
      </c>
      <c r="C173" s="1152"/>
      <c r="D173" s="1152"/>
      <c r="E173" s="1152"/>
      <c r="F173" s="1152"/>
      <c r="G173" s="1152"/>
      <c r="H173" s="1152"/>
      <c r="I173" s="1152"/>
      <c r="J173" s="1152"/>
      <c r="K173" s="1152"/>
    </row>
    <row r="174" spans="1:1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</row>
    <row r="175" spans="1:11" x14ac:dyDescent="0.25">
      <c r="A175" s="1170" t="s">
        <v>902</v>
      </c>
      <c r="B175" s="1170"/>
      <c r="C175" s="1170"/>
      <c r="D175" s="56" t="s">
        <v>23</v>
      </c>
      <c r="E175" s="56">
        <v>36.97</v>
      </c>
      <c r="F175" s="160" t="s">
        <v>13</v>
      </c>
      <c r="G175" s="6"/>
      <c r="H175" s="6"/>
      <c r="I175" s="6"/>
      <c r="J175" s="6"/>
      <c r="K175" s="6"/>
    </row>
    <row r="176" spans="1:11" x14ac:dyDescent="0.25">
      <c r="A176" s="1170" t="s">
        <v>903</v>
      </c>
      <c r="B176" s="1170"/>
      <c r="C176" s="1170"/>
      <c r="D176" s="56" t="s">
        <v>23</v>
      </c>
      <c r="E176" s="56">
        <v>36.97</v>
      </c>
      <c r="F176" s="160" t="s">
        <v>13</v>
      </c>
      <c r="G176" s="6"/>
      <c r="H176" s="6"/>
      <c r="I176" s="6"/>
      <c r="J176" s="6"/>
      <c r="K176" s="6"/>
    </row>
    <row r="177" spans="1:11" x14ac:dyDescent="0.25">
      <c r="A177" s="1170" t="s">
        <v>904</v>
      </c>
      <c r="B177" s="1170"/>
      <c r="C177" s="1170"/>
      <c r="D177" s="56" t="s">
        <v>23</v>
      </c>
      <c r="E177" s="56">
        <v>36.97</v>
      </c>
      <c r="F177" s="160" t="s">
        <v>13</v>
      </c>
      <c r="G177" s="6"/>
      <c r="H177" s="6"/>
      <c r="I177" s="6"/>
      <c r="J177" s="6"/>
      <c r="K177" s="6"/>
    </row>
    <row r="178" spans="1:1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</row>
    <row r="179" spans="1:11" x14ac:dyDescent="0.25">
      <c r="A179" s="6"/>
      <c r="B179" s="6"/>
      <c r="C179" s="6"/>
      <c r="D179" s="480" t="s">
        <v>364</v>
      </c>
      <c r="E179" s="166">
        <f>SUM(E175:E177)</f>
        <v>110.91</v>
      </c>
      <c r="F179" s="481" t="s">
        <v>13</v>
      </c>
      <c r="G179" s="6"/>
      <c r="H179" s="6"/>
      <c r="I179" s="6"/>
      <c r="J179" s="6"/>
      <c r="K179" s="6"/>
    </row>
    <row r="180" spans="1:1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</row>
    <row r="181" spans="1:1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</row>
    <row r="182" spans="1:1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</row>
    <row r="183" spans="1:1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</row>
    <row r="184" spans="1:1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</row>
    <row r="185" spans="1:1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</row>
    <row r="187" spans="1:11" ht="31.5" customHeight="1" x14ac:dyDescent="0.25">
      <c r="D187" s="798"/>
    </row>
  </sheetData>
  <mergeCells count="109">
    <mergeCell ref="A6:B6"/>
    <mergeCell ref="A7:B7"/>
    <mergeCell ref="E39:I39"/>
    <mergeCell ref="E40:I40"/>
    <mergeCell ref="B37:K37"/>
    <mergeCell ref="B17:K17"/>
    <mergeCell ref="E79:F79"/>
    <mergeCell ref="C92:D92"/>
    <mergeCell ref="C93:D93"/>
    <mergeCell ref="A77:B77"/>
    <mergeCell ref="A78:B78"/>
    <mergeCell ref="A79:B79"/>
    <mergeCell ref="A48:B48"/>
    <mergeCell ref="B65:K65"/>
    <mergeCell ref="B74:K74"/>
    <mergeCell ref="B83:K83"/>
    <mergeCell ref="B90:K90"/>
    <mergeCell ref="B67:E67"/>
    <mergeCell ref="C85:D85"/>
    <mergeCell ref="C86:D86"/>
    <mergeCell ref="C76:D76"/>
    <mergeCell ref="C77:D77"/>
    <mergeCell ref="C78:D78"/>
    <mergeCell ref="C79:D79"/>
    <mergeCell ref="E76:F76"/>
    <mergeCell ref="E77:F77"/>
    <mergeCell ref="E78:F78"/>
    <mergeCell ref="B56:K56"/>
    <mergeCell ref="B58:E58"/>
    <mergeCell ref="A1:K1"/>
    <mergeCell ref="H4:I4"/>
    <mergeCell ref="C4:G4"/>
    <mergeCell ref="C5:K5"/>
    <mergeCell ref="C6:K6"/>
    <mergeCell ref="A11:K11"/>
    <mergeCell ref="A13:K13"/>
    <mergeCell ref="I7:K7"/>
    <mergeCell ref="I9:K9"/>
    <mergeCell ref="I8:K8"/>
    <mergeCell ref="A10:K10"/>
    <mergeCell ref="A9:B9"/>
    <mergeCell ref="C9:F9"/>
    <mergeCell ref="A4:B4"/>
    <mergeCell ref="J4:K4"/>
    <mergeCell ref="A2:M2"/>
    <mergeCell ref="A3:M3"/>
    <mergeCell ref="L4:M4"/>
    <mergeCell ref="C7:F7"/>
    <mergeCell ref="G9:H9"/>
    <mergeCell ref="G7:H8"/>
    <mergeCell ref="A8:B8"/>
    <mergeCell ref="C8:F8"/>
    <mergeCell ref="A5:B5"/>
    <mergeCell ref="A177:C177"/>
    <mergeCell ref="A139:B139"/>
    <mergeCell ref="A140:B140"/>
    <mergeCell ref="A141:B141"/>
    <mergeCell ref="A152:C152"/>
    <mergeCell ref="A153:C153"/>
    <mergeCell ref="B157:K157"/>
    <mergeCell ref="A175:C175"/>
    <mergeCell ref="D139:H139"/>
    <mergeCell ref="D140:H140"/>
    <mergeCell ref="D141:H141"/>
    <mergeCell ref="A169:C169"/>
    <mergeCell ref="A161:C161"/>
    <mergeCell ref="B173:K173"/>
    <mergeCell ref="E152:F152"/>
    <mergeCell ref="H152:J152"/>
    <mergeCell ref="A168:C168"/>
    <mergeCell ref="E168:F168"/>
    <mergeCell ref="H168:J168"/>
    <mergeCell ref="A145:D145"/>
    <mergeCell ref="A149:B149"/>
    <mergeCell ref="D151:F151"/>
    <mergeCell ref="H151:K151"/>
    <mergeCell ref="H129:K129"/>
    <mergeCell ref="A130:C130"/>
    <mergeCell ref="E130:F130"/>
    <mergeCell ref="H130:J130"/>
    <mergeCell ref="A131:C131"/>
    <mergeCell ref="C136:H136"/>
    <mergeCell ref="C137:H137"/>
    <mergeCell ref="C138:H138"/>
    <mergeCell ref="A176:C176"/>
    <mergeCell ref="B97:K97"/>
    <mergeCell ref="C99:D99"/>
    <mergeCell ref="C100:D100"/>
    <mergeCell ref="C101:D101"/>
    <mergeCell ref="A114:B114"/>
    <mergeCell ref="A115:B115"/>
    <mergeCell ref="A116:B116"/>
    <mergeCell ref="A165:B165"/>
    <mergeCell ref="D167:F167"/>
    <mergeCell ref="H167:K167"/>
    <mergeCell ref="B106:K106"/>
    <mergeCell ref="C108:H108"/>
    <mergeCell ref="C109:H109"/>
    <mergeCell ref="C110:H110"/>
    <mergeCell ref="C111:H111"/>
    <mergeCell ref="D114:H114"/>
    <mergeCell ref="D115:H115"/>
    <mergeCell ref="A143:C143"/>
    <mergeCell ref="D116:H116"/>
    <mergeCell ref="B134:K134"/>
    <mergeCell ref="A118:C118"/>
    <mergeCell ref="A120:D120"/>
    <mergeCell ref="A127:B127"/>
    <mergeCell ref="D129:F129"/>
  </mergeCells>
  <pageMargins left="0.78740157480314965" right="0.23622047244094491" top="0.47244094488188981" bottom="0.47244094488188981" header="0.31496062992125984" footer="0.11811023622047245"/>
  <pageSetup paperSize="9" scale="77" orientation="portrait" r:id="rId1"/>
  <rowBreaks count="4" manualBreakCount="4">
    <brk id="54" max="10" man="1"/>
    <brk id="89" max="10" man="1"/>
    <brk id="132" max="10" man="1"/>
    <brk id="172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24</vt:i4>
      </vt:variant>
    </vt:vector>
  </HeadingPairs>
  <TitlesOfParts>
    <vt:vector size="39" baseType="lpstr">
      <vt:lpstr>ENC. SOCIAIS</vt:lpstr>
      <vt:lpstr>CRONOGRAMA</vt:lpstr>
      <vt:lpstr>BDI</vt:lpstr>
      <vt:lpstr>ORÇAMENTO</vt:lpstr>
      <vt:lpstr>COMPOSIÇÕES</vt:lpstr>
      <vt:lpstr>ADM. OBRA. 1</vt:lpstr>
      <vt:lpstr>SERV. PREL.2</vt:lpstr>
      <vt:lpstr>DEMOL. RET.3</vt:lpstr>
      <vt:lpstr>PAV.4</vt:lpstr>
      <vt:lpstr>URB.5</vt:lpstr>
      <vt:lpstr>PLAY.6</vt:lpstr>
      <vt:lpstr>FONTE.7</vt:lpstr>
      <vt:lpstr>ELÉTRICO.8</vt:lpstr>
      <vt:lpstr>PORT.9</vt:lpstr>
      <vt:lpstr>SERVIÇO FINAL.10</vt:lpstr>
      <vt:lpstr>'ADM. OBRA. 1'!Area_de_impressao</vt:lpstr>
      <vt:lpstr>BDI!Area_de_impressao</vt:lpstr>
      <vt:lpstr>COMPOSIÇÕES!Area_de_impressao</vt:lpstr>
      <vt:lpstr>CRONOGRAMA!Area_de_impressao</vt:lpstr>
      <vt:lpstr>'DEMOL. RET.3'!Area_de_impressao</vt:lpstr>
      <vt:lpstr>ELÉTRICO.8!Area_de_impressao</vt:lpstr>
      <vt:lpstr>'ENC. SOCIAIS'!Area_de_impressao</vt:lpstr>
      <vt:lpstr>FONTE.7!Area_de_impressao</vt:lpstr>
      <vt:lpstr>ORÇAMENTO!Area_de_impressao</vt:lpstr>
      <vt:lpstr>PAV.4!Area_de_impressao</vt:lpstr>
      <vt:lpstr>PLAY.6!Area_de_impressao</vt:lpstr>
      <vt:lpstr>PORT.9!Area_de_impressao</vt:lpstr>
      <vt:lpstr>'SERV. PREL.2'!Area_de_impressao</vt:lpstr>
      <vt:lpstr>'SERVIÇO FINAL.10'!Area_de_impressao</vt:lpstr>
      <vt:lpstr>URB.5!Area_de_impressao</vt:lpstr>
      <vt:lpstr>BDI!Titulos_de_impressao</vt:lpstr>
      <vt:lpstr>COMPOSIÇÕES!Titulos_de_impressao</vt:lpstr>
      <vt:lpstr>CRONOGRAMA!Titulos_de_impressao</vt:lpstr>
      <vt:lpstr>ELÉTRICO.8!Titulos_de_impressao</vt:lpstr>
      <vt:lpstr>FONTE.7!Titulos_de_impressao</vt:lpstr>
      <vt:lpstr>ORÇAMENTO!Titulos_de_impressao</vt:lpstr>
      <vt:lpstr>PAV.4!Titulos_de_impressao</vt:lpstr>
      <vt:lpstr>PLAY.6!Titulos_de_impressao</vt:lpstr>
      <vt:lpstr>PORT.9!Titulos_de_impressao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2006-09-25T12:47:36Z</dcterms:created>
  <dcterms:modified xsi:type="dcterms:W3CDTF">2023-02-08T14:51:49Z</dcterms:modified>
</cp:coreProperties>
</file>